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ПБУ АРЕНДА, РЕФОРМА ЦБ, НК\ФСБУ 25\КЛИЕНТАМ\Методичка клиенту\РАЗМЕЩЕНИЕ НА САЙТЕ БЛ\Размещено в авг 2022\"/>
    </mc:Choice>
  </mc:AlternateContent>
  <xr:revisionPtr revIDLastSave="0" documentId="13_ncr:1_{CC57771F-CD9C-4D40-A4D2-2D7C6420AAD6}" xr6:coauthVersionLast="36" xr6:coauthVersionMax="36" xr10:uidLastSave="{00000000-0000-0000-0000-000000000000}"/>
  <bookViews>
    <workbookView xWindow="0" yWindow="0" windowWidth="28800" windowHeight="12225" activeTab="1" xr2:uid="{31AF9C72-76D0-4898-A946-83ED6388CBFC}"/>
  </bookViews>
  <sheets>
    <sheet name="Бух.отчетность" sheetId="1" r:id="rId1"/>
    <sheet name="2022 год" sheetId="6" r:id="rId2"/>
  </sheets>
  <definedNames>
    <definedName name="_xlnm._FilterDatabase" localSheetId="1" hidden="1">'2022 год'!$A$44:$H$59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6" l="1"/>
  <c r="D66" i="6"/>
  <c r="D65" i="6"/>
  <c r="D10" i="1" l="1"/>
  <c r="D68" i="6" l="1"/>
  <c r="D67" i="6"/>
  <c r="D51" i="6"/>
  <c r="D50" i="6"/>
  <c r="G38" i="6"/>
  <c r="D35" i="6"/>
  <c r="D37" i="6" s="1"/>
  <c r="D38" i="6" s="1"/>
  <c r="D32" i="6"/>
  <c r="D40" i="6" s="1"/>
  <c r="D31" i="6"/>
  <c r="G27" i="6"/>
  <c r="G33" i="6" s="1"/>
  <c r="D27" i="6"/>
  <c r="D28" i="6" s="1"/>
  <c r="D29" i="6" s="1"/>
  <c r="D20" i="6"/>
  <c r="G16" i="6"/>
  <c r="G17" i="6" s="1"/>
  <c r="D16" i="6"/>
  <c r="D17" i="6" s="1"/>
  <c r="D18" i="6" s="1"/>
  <c r="D10" i="6"/>
  <c r="D47" i="6" s="1"/>
  <c r="D9" i="6"/>
  <c r="D46" i="6" s="1"/>
  <c r="G7" i="6"/>
  <c r="D7" i="6"/>
  <c r="G18" i="6" l="1"/>
  <c r="D21" i="6"/>
  <c r="B73" i="6"/>
  <c r="C73" i="6"/>
  <c r="D54" i="6"/>
  <c r="D12" i="6"/>
  <c r="D52" i="6" s="1"/>
  <c r="D53" i="6" s="1"/>
  <c r="G21" i="6"/>
  <c r="C59" i="6"/>
  <c r="D48" i="6"/>
  <c r="C58" i="6" s="1"/>
  <c r="B58" i="6"/>
  <c r="D13" i="6"/>
  <c r="D39" i="6" s="1"/>
  <c r="D30" i="6"/>
  <c r="D36" i="6"/>
  <c r="D49" i="6" s="1"/>
  <c r="B59" i="6" s="1"/>
  <c r="D19" i="6"/>
  <c r="D45" i="6" s="1"/>
  <c r="B57" i="6" s="1"/>
  <c r="G19" i="6"/>
  <c r="G28" i="6"/>
  <c r="G29" i="6" s="1"/>
  <c r="D33" i="6"/>
  <c r="I5" i="1"/>
  <c r="D64" i="6" l="1"/>
  <c r="B72" i="6" s="1"/>
  <c r="D25" i="6"/>
  <c r="G30" i="6"/>
  <c r="C57" i="6"/>
  <c r="C72" i="6"/>
  <c r="G39" i="6"/>
  <c r="H44" i="1" l="1"/>
  <c r="I6" i="1" l="1"/>
  <c r="H9" i="1"/>
  <c r="I8" i="1"/>
  <c r="I7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I9" i="1" l="1"/>
  <c r="H10" i="1"/>
  <c r="H11" i="1" l="1"/>
  <c r="I10" i="1"/>
  <c r="I11" i="1" l="1"/>
  <c r="H12" i="1"/>
  <c r="H13" i="1" l="1"/>
  <c r="I12" i="1"/>
  <c r="H14" i="1" l="1"/>
  <c r="I13" i="1"/>
  <c r="H15" i="1" l="1"/>
  <c r="I14" i="1"/>
  <c r="I15" i="1" l="1"/>
  <c r="H16" i="1"/>
  <c r="H17" i="1" l="1"/>
  <c r="I16" i="1"/>
  <c r="I17" i="1" l="1"/>
  <c r="H18" i="1"/>
  <c r="I18" i="1" l="1"/>
  <c r="H19" i="1"/>
  <c r="I19" i="1" l="1"/>
  <c r="H20" i="1"/>
  <c r="H21" i="1" l="1"/>
  <c r="I20" i="1"/>
  <c r="H22" i="1" l="1"/>
  <c r="I21" i="1"/>
  <c r="I22" i="1" l="1"/>
  <c r="H23" i="1"/>
  <c r="H24" i="1" l="1"/>
  <c r="I23" i="1"/>
  <c r="H25" i="1" l="1"/>
  <c r="I24" i="1"/>
  <c r="H26" i="1" l="1"/>
  <c r="I25" i="1"/>
  <c r="I26" i="1" l="1"/>
  <c r="H27" i="1"/>
  <c r="H28" i="1" l="1"/>
  <c r="I27" i="1"/>
  <c r="H29" i="1" l="1"/>
  <c r="I28" i="1"/>
  <c r="H30" i="1" l="1"/>
  <c r="I29" i="1"/>
  <c r="I30" i="1" l="1"/>
  <c r="H31" i="1"/>
  <c r="H32" i="1" l="1"/>
  <c r="I31" i="1"/>
  <c r="H33" i="1" l="1"/>
  <c r="I32" i="1"/>
  <c r="I33" i="1" l="1"/>
  <c r="H34" i="1"/>
  <c r="I34" i="1" l="1"/>
  <c r="H35" i="1"/>
  <c r="I35" i="1" l="1"/>
  <c r="H36" i="1"/>
  <c r="H37" i="1" l="1"/>
  <c r="I36" i="1"/>
  <c r="I37" i="1" l="1"/>
  <c r="H38" i="1"/>
  <c r="I38" i="1" s="1"/>
  <c r="H39" i="1" l="1"/>
  <c r="H40" i="1" l="1"/>
  <c r="I39" i="1"/>
  <c r="H41" i="1" l="1"/>
  <c r="I40" i="1"/>
  <c r="H42" i="1" l="1"/>
  <c r="I41" i="1"/>
  <c r="I43" i="1" l="1"/>
  <c r="I44" i="1"/>
  <c r="D8" i="1"/>
  <c r="D9" i="1" s="1"/>
  <c r="O7" i="1" s="1"/>
  <c r="L8" i="1" s="1"/>
  <c r="M8" i="1" s="1"/>
  <c r="I42" i="1"/>
  <c r="K9" i="1" l="1"/>
  <c r="N7" i="1"/>
  <c r="O8" i="1"/>
  <c r="N8" i="1"/>
  <c r="N9" i="1" s="1"/>
  <c r="K10" i="1" l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L9" i="1"/>
  <c r="N10" i="1" l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K44" i="1"/>
  <c r="M9" i="1"/>
  <c r="O9" i="1" s="1"/>
  <c r="L10" i="1" s="1"/>
  <c r="M10" i="1" s="1"/>
  <c r="O10" i="1" s="1"/>
  <c r="L11" i="1" s="1"/>
  <c r="M11" i="1" s="1"/>
  <c r="O11" i="1" s="1"/>
  <c r="L12" i="1" s="1"/>
  <c r="M12" i="1" s="1"/>
  <c r="O12" i="1" s="1"/>
  <c r="L13" i="1" s="1"/>
  <c r="M13" i="1" s="1"/>
  <c r="O13" i="1" s="1"/>
  <c r="L14" i="1" s="1"/>
  <c r="M14" i="1" s="1"/>
  <c r="O14" i="1" s="1"/>
  <c r="L15" i="1" s="1"/>
  <c r="M15" i="1" s="1"/>
  <c r="O15" i="1" s="1"/>
  <c r="L16" i="1" s="1"/>
  <c r="M16" i="1" s="1"/>
  <c r="O16" i="1" s="1"/>
  <c r="L17" i="1" s="1"/>
  <c r="M17" i="1" s="1"/>
  <c r="O17" i="1" s="1"/>
  <c r="L18" i="1" s="1"/>
  <c r="M18" i="1" s="1"/>
  <c r="O18" i="1" s="1"/>
  <c r="L19" i="1" s="1"/>
  <c r="M19" i="1" s="1"/>
  <c r="O19" i="1" s="1"/>
  <c r="L20" i="1" s="1"/>
  <c r="M20" i="1" s="1"/>
  <c r="O20" i="1" s="1"/>
  <c r="L21" i="1" s="1"/>
  <c r="M21" i="1" s="1"/>
  <c r="O21" i="1" s="1"/>
  <c r="L22" i="1" s="1"/>
  <c r="M22" i="1" s="1"/>
  <c r="O22" i="1" s="1"/>
  <c r="L23" i="1" s="1"/>
  <c r="M23" i="1" s="1"/>
  <c r="O23" i="1" s="1"/>
  <c r="L24" i="1" s="1"/>
  <c r="M24" i="1" s="1"/>
  <c r="O24" i="1" s="1"/>
  <c r="L25" i="1" s="1"/>
  <c r="M25" i="1" s="1"/>
  <c r="O25" i="1" s="1"/>
  <c r="L26" i="1" s="1"/>
  <c r="M26" i="1" s="1"/>
  <c r="O26" i="1" s="1"/>
  <c r="L27" i="1" s="1"/>
  <c r="M27" i="1" s="1"/>
  <c r="O27" i="1" s="1"/>
  <c r="L28" i="1" s="1"/>
  <c r="M28" i="1" s="1"/>
  <c r="O28" i="1" s="1"/>
  <c r="L29" i="1" s="1"/>
  <c r="M29" i="1" s="1"/>
  <c r="O29" i="1" s="1"/>
  <c r="L30" i="1" s="1"/>
  <c r="M30" i="1" s="1"/>
  <c r="O30" i="1" s="1"/>
  <c r="L31" i="1" s="1"/>
  <c r="M31" i="1" s="1"/>
  <c r="O31" i="1" s="1"/>
  <c r="L32" i="1" s="1"/>
  <c r="M32" i="1" s="1"/>
  <c r="O32" i="1" s="1"/>
  <c r="L33" i="1" s="1"/>
  <c r="M33" i="1" s="1"/>
  <c r="O33" i="1" s="1"/>
  <c r="L34" i="1" s="1"/>
  <c r="M34" i="1" s="1"/>
  <c r="O34" i="1" s="1"/>
  <c r="L35" i="1" s="1"/>
  <c r="M35" i="1" s="1"/>
  <c r="O35" i="1" s="1"/>
  <c r="L36" i="1" s="1"/>
  <c r="M36" i="1" s="1"/>
  <c r="O36" i="1" s="1"/>
  <c r="L37" i="1" s="1"/>
  <c r="M37" i="1" s="1"/>
  <c r="O37" i="1" s="1"/>
  <c r="L38" i="1" s="1"/>
  <c r="M38" i="1" s="1"/>
  <c r="O38" i="1" s="1"/>
  <c r="L39" i="1" s="1"/>
  <c r="M39" i="1" s="1"/>
  <c r="O39" i="1" s="1"/>
  <c r="L40" i="1" s="1"/>
  <c r="M40" i="1" s="1"/>
  <c r="O40" i="1" s="1"/>
  <c r="L41" i="1" s="1"/>
  <c r="M41" i="1" s="1"/>
  <c r="O41" i="1" s="1"/>
  <c r="L42" i="1" s="1"/>
  <c r="M42" i="1" s="1"/>
  <c r="O42" i="1" s="1"/>
  <c r="L43" i="1" l="1"/>
  <c r="M43" i="1" s="1"/>
  <c r="L44" i="1" l="1"/>
</calcChain>
</file>

<file path=xl/sharedStrings.xml><?xml version="1.0" encoding="utf-8"?>
<sst xmlns="http://schemas.openxmlformats.org/spreadsheetml/2006/main" count="207" uniqueCount="104">
  <si>
    <t>Аванс</t>
  </si>
  <si>
    <t>Итого</t>
  </si>
  <si>
    <t>Стоимость автомобиля, руб. без НДС</t>
  </si>
  <si>
    <t>Денежные потоки без НДС</t>
  </si>
  <si>
    <t>№ платежа</t>
  </si>
  <si>
    <t>Дата платежа</t>
  </si>
  <si>
    <t>График платежей</t>
  </si>
  <si>
    <t>Условия аренды</t>
  </si>
  <si>
    <t>Ежеесячный платеж, руб. без НДС</t>
  </si>
  <si>
    <t>Обязательство по аренде</t>
  </si>
  <si>
    <t>Баланс</t>
  </si>
  <si>
    <t>Погашение обязательства</t>
  </si>
  <si>
    <t>Процентные расходы</t>
  </si>
  <si>
    <t>Амортизация ППА</t>
  </si>
  <si>
    <t>Стоимость авто</t>
  </si>
  <si>
    <t>ППА</t>
  </si>
  <si>
    <t>Срок лизнига, мес.</t>
  </si>
  <si>
    <t>Аванс за лизинговое имущество, %</t>
  </si>
  <si>
    <t>ОФР</t>
  </si>
  <si>
    <t>Отражение в БУ</t>
  </si>
  <si>
    <t>Дт</t>
  </si>
  <si>
    <t>Кт</t>
  </si>
  <si>
    <t>Сумма, руб.</t>
  </si>
  <si>
    <t>Оплачен аванс лизингодателю, в т.ч. НДС</t>
  </si>
  <si>
    <t>Амортизационная группа</t>
  </si>
  <si>
    <t>Коэффициент ускорения</t>
  </si>
  <si>
    <t>не применяется</t>
  </si>
  <si>
    <t>Срок полезного использования, мес.</t>
  </si>
  <si>
    <t>Обязательство по аренде, руб.</t>
  </si>
  <si>
    <t>ППА, руб.</t>
  </si>
  <si>
    <t>Ставка дисконтирования (расчетная), %</t>
  </si>
  <si>
    <t>Срок амортизации ППА, мес.</t>
  </si>
  <si>
    <t>Лизинговые платежи, без НДС</t>
  </si>
  <si>
    <t>08</t>
  </si>
  <si>
    <t>60</t>
  </si>
  <si>
    <t>97</t>
  </si>
  <si>
    <t>-</t>
  </si>
  <si>
    <t>01.Аренда</t>
  </si>
  <si>
    <t>76.Аренда</t>
  </si>
  <si>
    <t>76. Обязат</t>
  </si>
  <si>
    <t>76.Обязат</t>
  </si>
  <si>
    <t xml:space="preserve">Сумма, руб. </t>
  </si>
  <si>
    <t>90.02</t>
  </si>
  <si>
    <t>19</t>
  </si>
  <si>
    <t>Передача в лизинг</t>
  </si>
  <si>
    <t>Отражение операций по лизинговому имуществу 31.01.2022г.</t>
  </si>
  <si>
    <t>Отражение операций по лизинговому имуществу 28.02.2022г.</t>
  </si>
  <si>
    <t>02.Аренда</t>
  </si>
  <si>
    <t>01.Собств</t>
  </si>
  <si>
    <t>02.Собств</t>
  </si>
  <si>
    <t>Выкупная стоимость вкл. в стр. 36, руб. без НДС</t>
  </si>
  <si>
    <t>68</t>
  </si>
  <si>
    <t>Комментарии/Порядок расчета</t>
  </si>
  <si>
    <r>
      <rPr>
        <b/>
        <sz val="11"/>
        <color theme="4" tint="-0.249977111117893"/>
        <rFont val="Times New Roman"/>
        <family val="1"/>
        <charset val="204"/>
      </rPr>
      <t>Бухгалтерский учет</t>
    </r>
    <r>
      <rPr>
        <sz val="11"/>
        <color theme="4" tint="-0.249977111117893"/>
        <rFont val="Times New Roman"/>
        <family val="1"/>
        <charset val="204"/>
      </rPr>
      <t xml:space="preserve">
Будущие затраты лизингополучателя по демонтажу, восставновлению окруж. среды и пр. отражаются при формировании стоимости ППА.
</t>
    </r>
    <r>
      <rPr>
        <b/>
        <sz val="11"/>
        <color theme="4" tint="-0.249977111117893"/>
        <rFont val="Times New Roman"/>
        <family val="1"/>
        <charset val="204"/>
      </rPr>
      <t xml:space="preserve">Налоговый учет
</t>
    </r>
    <r>
      <rPr>
        <sz val="11"/>
        <color theme="4" tint="-0.249977111117893"/>
        <rFont val="Times New Roman"/>
        <family val="1"/>
        <charset val="204"/>
      </rPr>
      <t>Не предусмотрено</t>
    </r>
  </si>
  <si>
    <r>
      <rPr>
        <b/>
        <sz val="11"/>
        <color theme="4" tint="-0.249977111117893"/>
        <rFont val="Times New Roman"/>
        <family val="1"/>
        <charset val="204"/>
      </rPr>
      <t>Бухгалтерский учет</t>
    </r>
    <r>
      <rPr>
        <sz val="11"/>
        <color theme="4" tint="-0.249977111117893"/>
        <rFont val="Times New Roman"/>
        <family val="1"/>
        <charset val="204"/>
      </rPr>
      <t xml:space="preserve">
Отражен лизинговый платеж согласно графику к договору лизинга (счет-фактура на лизинговый платеж)
</t>
    </r>
    <r>
      <rPr>
        <b/>
        <sz val="11"/>
        <color theme="4" tint="-0.249977111117893"/>
        <rFont val="Times New Roman"/>
        <family val="1"/>
        <charset val="204"/>
      </rPr>
      <t>Налоговый учет</t>
    </r>
    <r>
      <rPr>
        <sz val="11"/>
        <color theme="4" tint="-0.249977111117893"/>
        <rFont val="Times New Roman"/>
        <family val="1"/>
        <charset val="204"/>
      </rPr>
      <t xml:space="preserve">
Отражен лизинговый платеж согласно графику к договору лизинга (счет-фактура на лизинговый платеж)</t>
    </r>
  </si>
  <si>
    <r>
      <rPr>
        <b/>
        <sz val="11"/>
        <color theme="4" tint="-0.249977111117893"/>
        <rFont val="Times New Roman"/>
        <family val="1"/>
        <charset val="204"/>
      </rPr>
      <t>Бухгалтерский учет</t>
    </r>
    <r>
      <rPr>
        <sz val="11"/>
        <color theme="4" tint="-0.249977111117893"/>
        <rFont val="Times New Roman"/>
        <family val="1"/>
        <charset val="204"/>
      </rPr>
      <t xml:space="preserve">
Отражен НДС с лизингового платежа согласно графику к договору лизинга (счет-фактура на лизинговый платеж)
</t>
    </r>
    <r>
      <rPr>
        <b/>
        <sz val="11"/>
        <color theme="4" tint="-0.249977111117893"/>
        <rFont val="Times New Roman"/>
        <family val="1"/>
        <charset val="204"/>
      </rPr>
      <t>Налоговый учет</t>
    </r>
    <r>
      <rPr>
        <sz val="11"/>
        <color theme="4" tint="-0.249977111117893"/>
        <rFont val="Times New Roman"/>
        <family val="1"/>
        <charset val="204"/>
      </rPr>
      <t xml:space="preserve">
Отражен НДС с лизингового платежа согласно графику к договору лизинга (счет-фактура на лизинговый платеж)</t>
    </r>
  </si>
  <si>
    <r>
      <rPr>
        <b/>
        <sz val="11"/>
        <color theme="4" tint="-0.249977111117893"/>
        <rFont val="Times New Roman"/>
        <family val="1"/>
        <charset val="204"/>
      </rPr>
      <t>Бухгалтерский учет</t>
    </r>
    <r>
      <rPr>
        <sz val="11"/>
        <color theme="4" tint="-0.249977111117893"/>
        <rFont val="Times New Roman"/>
        <family val="1"/>
        <charset val="204"/>
      </rPr>
      <t xml:space="preserve">
Отражена сумма НДС с суммы авансового лизингового платежа в книге покупок (счет-фактура на дату начисления лизингового платежа)
</t>
    </r>
    <r>
      <rPr>
        <b/>
        <sz val="11"/>
        <color theme="4" tint="-0.249977111117893"/>
        <rFont val="Times New Roman"/>
        <family val="1"/>
        <charset val="204"/>
      </rPr>
      <t xml:space="preserve">Налоговый учет
</t>
    </r>
    <r>
      <rPr>
        <sz val="11"/>
        <color theme="4" tint="-0.249977111117893"/>
        <rFont val="Times New Roman"/>
        <family val="1"/>
        <charset val="204"/>
      </rPr>
      <t>Отражена сумма НДС с суммы авансового лизингового платежа в книге покупок (счет-фактура на дату начисления лизингового платежа)</t>
    </r>
  </si>
  <si>
    <r>
      <rPr>
        <b/>
        <sz val="11"/>
        <color theme="4" tint="-0.249977111117893"/>
        <rFont val="Times New Roman"/>
        <family val="1"/>
        <charset val="204"/>
      </rPr>
      <t>Бухгалтерский учет</t>
    </r>
    <r>
      <rPr>
        <sz val="11"/>
        <color theme="4" tint="-0.249977111117893"/>
        <rFont val="Times New Roman"/>
        <family val="1"/>
        <charset val="204"/>
      </rPr>
      <t xml:space="preserve">
Оплата лизингового платежа
</t>
    </r>
    <r>
      <rPr>
        <b/>
        <sz val="11"/>
        <color theme="4" tint="-0.249977111117893"/>
        <rFont val="Times New Roman"/>
        <family val="1"/>
        <charset val="204"/>
      </rPr>
      <t>Налоговый учет</t>
    </r>
    <r>
      <rPr>
        <sz val="11"/>
        <color theme="4" tint="-0.249977111117893"/>
        <rFont val="Times New Roman"/>
        <family val="1"/>
        <charset val="204"/>
      </rPr>
      <t xml:space="preserve">
Оплата лизингового платежа</t>
    </r>
  </si>
  <si>
    <r>
      <rPr>
        <b/>
        <sz val="11"/>
        <color theme="4" tint="-0.249977111117893"/>
        <rFont val="Times New Roman"/>
        <family val="1"/>
        <charset val="204"/>
      </rPr>
      <t>Бухгалтерский учет</t>
    </r>
    <r>
      <rPr>
        <sz val="11"/>
        <color theme="4" tint="-0.249977111117893"/>
        <rFont val="Times New Roman"/>
        <family val="1"/>
        <charset val="204"/>
      </rPr>
      <t xml:space="preserve">
Закрытие затратных счетов
</t>
    </r>
    <r>
      <rPr>
        <b/>
        <sz val="11"/>
        <color theme="4" tint="-0.249977111117893"/>
        <rFont val="Times New Roman"/>
        <family val="1"/>
        <charset val="204"/>
      </rPr>
      <t>Налоговый учет</t>
    </r>
    <r>
      <rPr>
        <sz val="11"/>
        <color theme="4" tint="-0.249977111117893"/>
        <rFont val="Times New Roman"/>
        <family val="1"/>
        <charset val="204"/>
      </rPr>
      <t xml:space="preserve">
Закрытие затратных счетов</t>
    </r>
  </si>
  <si>
    <r>
      <rPr>
        <b/>
        <sz val="11"/>
        <color theme="4" tint="-0.249977111117893"/>
        <rFont val="Times New Roman"/>
        <family val="1"/>
        <charset val="204"/>
      </rPr>
      <t>Бухгалтерский учет</t>
    </r>
    <r>
      <rPr>
        <sz val="11"/>
        <color theme="4" tint="-0.249977111117893"/>
        <rFont val="Times New Roman"/>
        <family val="1"/>
        <charset val="204"/>
      </rPr>
      <t xml:space="preserve">
Не предусмотрено
</t>
    </r>
    <r>
      <rPr>
        <b/>
        <sz val="11"/>
        <color theme="4" tint="-0.249977111117893"/>
        <rFont val="Times New Roman"/>
        <family val="1"/>
        <charset val="204"/>
      </rPr>
      <t>Налоговый учет</t>
    </r>
    <r>
      <rPr>
        <sz val="11"/>
        <color theme="4" tint="-0.249977111117893"/>
        <rFont val="Times New Roman"/>
        <family val="1"/>
        <charset val="204"/>
      </rPr>
      <t xml:space="preserve">
Отражение суммы лизинговых платежей, превышающих сумму амортизации. 
сумма амортизации за весь период использования имущесвта 2 000 000 руб.
сумма лизинговых платежей 2 400 000 руб.</t>
    </r>
  </si>
  <si>
    <r>
      <rPr>
        <b/>
        <sz val="11"/>
        <color theme="4" tint="-0.249977111117893"/>
        <rFont val="Times New Roman"/>
        <family val="1"/>
        <charset val="204"/>
      </rPr>
      <t>Бухгалтерский учет</t>
    </r>
    <r>
      <rPr>
        <sz val="11"/>
        <color theme="4" tint="-0.249977111117893"/>
        <rFont val="Times New Roman"/>
        <family val="1"/>
        <charset val="204"/>
      </rPr>
      <t xml:space="preserve">
Отражена выкупная стоимость имущества
</t>
    </r>
    <r>
      <rPr>
        <b/>
        <sz val="11"/>
        <color theme="4" tint="-0.249977111117893"/>
        <rFont val="Times New Roman"/>
        <family val="1"/>
        <charset val="204"/>
      </rPr>
      <t>Налоговый учет</t>
    </r>
    <r>
      <rPr>
        <sz val="11"/>
        <color theme="4" tint="-0.249977111117893"/>
        <rFont val="Times New Roman"/>
        <family val="1"/>
        <charset val="204"/>
      </rPr>
      <t xml:space="preserve">
Отражена выкупная стоимость имущества</t>
    </r>
  </si>
  <si>
    <r>
      <rPr>
        <b/>
        <sz val="11"/>
        <color theme="4" tint="-0.249977111117893"/>
        <rFont val="Times New Roman"/>
        <family val="1"/>
        <charset val="204"/>
      </rPr>
      <t>Бухгалтерский учет</t>
    </r>
    <r>
      <rPr>
        <sz val="11"/>
        <color theme="4" tint="-0.249977111117893"/>
        <rFont val="Times New Roman"/>
        <family val="1"/>
        <charset val="204"/>
      </rPr>
      <t xml:space="preserve">
Отражен НДС с выкупной стоимости имущества
</t>
    </r>
    <r>
      <rPr>
        <b/>
        <sz val="11"/>
        <color theme="4" tint="-0.249977111117893"/>
        <rFont val="Times New Roman"/>
        <family val="1"/>
        <charset val="204"/>
      </rPr>
      <t>Налоговый учет</t>
    </r>
    <r>
      <rPr>
        <sz val="11"/>
        <color theme="4" tint="-0.249977111117893"/>
        <rFont val="Times New Roman"/>
        <family val="1"/>
        <charset val="204"/>
      </rPr>
      <t xml:space="preserve">
Отражен НДС с выкупной стоимость имущества</t>
    </r>
  </si>
  <si>
    <r>
      <rPr>
        <b/>
        <sz val="11"/>
        <color theme="4" tint="-0.249977111117893"/>
        <rFont val="Times New Roman"/>
        <family val="1"/>
        <charset val="204"/>
      </rPr>
      <t>Бухгалтерский учет</t>
    </r>
    <r>
      <rPr>
        <sz val="11"/>
        <color theme="4" tint="-0.249977111117893"/>
        <rFont val="Times New Roman"/>
        <family val="1"/>
        <charset val="204"/>
      </rPr>
      <t xml:space="preserve">
Оплата выкупного платежа
</t>
    </r>
    <r>
      <rPr>
        <b/>
        <sz val="11"/>
        <color theme="4" tint="-0.249977111117893"/>
        <rFont val="Times New Roman"/>
        <family val="1"/>
        <charset val="204"/>
      </rPr>
      <t>Налоговый учет</t>
    </r>
    <r>
      <rPr>
        <sz val="11"/>
        <color theme="4" tint="-0.249977111117893"/>
        <rFont val="Times New Roman"/>
        <family val="1"/>
        <charset val="204"/>
      </rPr>
      <t xml:space="preserve">
Оплата выкупного платежа</t>
    </r>
  </si>
  <si>
    <r>
      <rPr>
        <b/>
        <sz val="11"/>
        <color theme="4" tint="-0.249977111117893"/>
        <rFont val="Times New Roman"/>
        <family val="1"/>
        <charset val="204"/>
      </rPr>
      <t>Бухгалтерский учет</t>
    </r>
    <r>
      <rPr>
        <sz val="11"/>
        <color theme="4" tint="-0.249977111117893"/>
        <rFont val="Times New Roman"/>
        <family val="1"/>
        <charset val="204"/>
      </rPr>
      <t xml:space="preserve">
Отражена сумма НДС с суммы лизингового платежа в книге покупок (счет-фактура на дату начисления лизингового платежа)
</t>
    </r>
    <r>
      <rPr>
        <b/>
        <sz val="11"/>
        <color theme="4" tint="-0.249977111117893"/>
        <rFont val="Times New Roman"/>
        <family val="1"/>
        <charset val="204"/>
      </rPr>
      <t xml:space="preserve">Налоговый учет
</t>
    </r>
    <r>
      <rPr>
        <sz val="11"/>
        <color theme="4" tint="-0.249977111117893"/>
        <rFont val="Times New Roman"/>
        <family val="1"/>
        <charset val="204"/>
      </rPr>
      <t>Отражена сумма НДС с суммы лизингового платежа в книге покупок (счет-фактура на дату начисления лизингового платежа)</t>
    </r>
  </si>
  <si>
    <t>ПРОВЕРКА БУ</t>
  </si>
  <si>
    <t>Сумма аванса, лизинговых платежей, выкупная</t>
  </si>
  <si>
    <t>Сумма лизинговых платежей за вычетом аванса за ЛИ (без НДС)</t>
  </si>
  <si>
    <t>Сумма аванса отражена при формировании ППА</t>
  </si>
  <si>
    <t>Признание ППА</t>
  </si>
  <si>
    <t>Лизинговые платежи и выкупная без НДС</t>
  </si>
  <si>
    <t>Амортизация за весь период действия договора</t>
  </si>
  <si>
    <t>НДС с аванса, лизинговых платежей, выкупной</t>
  </si>
  <si>
    <t>НДС принят к вычету</t>
  </si>
  <si>
    <t>Расходы за период дейсвтия договора лизинга (влияет на ф.№2)</t>
  </si>
  <si>
    <t>Сумма</t>
  </si>
  <si>
    <t>Комментарий</t>
  </si>
  <si>
    <t>ОБОРОТЫ</t>
  </si>
  <si>
    <t>Сумма Дт</t>
  </si>
  <si>
    <t>Сумма Кт</t>
  </si>
  <si>
    <t>Счет</t>
  </si>
  <si>
    <t>ПРОВЕРКА НУ</t>
  </si>
  <si>
    <t>Сумма всех лизинговых платежей без выкупной (без НДС)</t>
  </si>
  <si>
    <t>Сумма выкупной</t>
  </si>
  <si>
    <t>Отражение операций на дату оплаты авансового лизингового платежа</t>
  </si>
  <si>
    <t>Отражение операций на дату выкупа лизингового имущества</t>
  </si>
  <si>
    <t>Отражение в НУ</t>
  </si>
  <si>
    <t>ОТРАЖЕНИЕ В УЧЕТЕ ЛИЗИНГОВЫХ ОПЕРАЦИЙ У ЛИЗИНГОПОЛУЧАТЕЛЯ С 2022 ГОДА</t>
  </si>
  <si>
    <t>44</t>
  </si>
  <si>
    <r>
      <rPr>
        <b/>
        <sz val="11"/>
        <color theme="4" tint="-0.249977111117893"/>
        <rFont val="Times New Roman"/>
        <family val="1"/>
        <charset val="204"/>
      </rPr>
      <t>Бухгалтерский учет</t>
    </r>
    <r>
      <rPr>
        <sz val="11"/>
        <color theme="4" tint="-0.249977111117893"/>
        <rFont val="Times New Roman"/>
        <family val="1"/>
        <charset val="204"/>
      </rPr>
      <t xml:space="preserve">
Признание ППА
</t>
    </r>
    <r>
      <rPr>
        <b/>
        <sz val="11"/>
        <color theme="4" tint="-0.249977111117893"/>
        <rFont val="Times New Roman"/>
        <family val="1"/>
        <charset val="204"/>
      </rPr>
      <t>Налоговый учет</t>
    </r>
    <r>
      <rPr>
        <sz val="11"/>
        <color theme="4" tint="-0.249977111117893"/>
        <rFont val="Times New Roman"/>
        <family val="1"/>
        <charset val="204"/>
      </rPr>
      <t xml:space="preserve">
Не предусмотрено</t>
    </r>
  </si>
  <si>
    <r>
      <rPr>
        <b/>
        <sz val="11"/>
        <color theme="4" tint="-0.249977111117893"/>
        <rFont val="Times New Roman"/>
        <family val="1"/>
        <charset val="204"/>
      </rPr>
      <t>Бухгалтерский учет</t>
    </r>
    <r>
      <rPr>
        <sz val="11"/>
        <color theme="4" tint="-0.249977111117893"/>
        <rFont val="Times New Roman"/>
        <family val="1"/>
        <charset val="204"/>
      </rPr>
      <t xml:space="preserve">
Отражены процентные расходы рассчитанные ранее по формуле (строка соответствующая дате начисления 31.01.2022г.)
</t>
    </r>
    <r>
      <rPr>
        <b/>
        <sz val="11"/>
        <color theme="4" tint="-0.249977111117893"/>
        <rFont val="Times New Roman"/>
        <family val="1"/>
        <charset val="204"/>
      </rPr>
      <t xml:space="preserve">Налоговый учет
</t>
    </r>
    <r>
      <rPr>
        <sz val="11"/>
        <color theme="4" tint="-0.249977111117893"/>
        <rFont val="Times New Roman"/>
        <family val="1"/>
        <charset val="204"/>
      </rPr>
      <t>Не предусмотрено</t>
    </r>
  </si>
  <si>
    <r>
      <rPr>
        <b/>
        <sz val="11"/>
        <color theme="4" tint="-0.249977111117893"/>
        <rFont val="Times New Roman"/>
        <family val="1"/>
        <charset val="204"/>
      </rPr>
      <t>Бухгалтерский учет</t>
    </r>
    <r>
      <rPr>
        <sz val="11"/>
        <color theme="4" tint="-0.249977111117893"/>
        <rFont val="Times New Roman"/>
        <family val="1"/>
        <charset val="204"/>
      </rPr>
      <t xml:space="preserve">
Отражено начисление амортизации ППА . Срок амортизации выбран соответствующий сроку договора лизинга)
</t>
    </r>
    <r>
      <rPr>
        <b/>
        <sz val="11"/>
        <color theme="4" tint="-0.249977111117893"/>
        <rFont val="Times New Roman"/>
        <family val="1"/>
        <charset val="204"/>
      </rPr>
      <t>Налоговый учет</t>
    </r>
    <r>
      <rPr>
        <sz val="11"/>
        <color theme="4" tint="-0.249977111117893"/>
        <rFont val="Times New Roman"/>
        <family val="1"/>
        <charset val="204"/>
      </rPr>
      <t xml:space="preserve">
Не предусмотрено</t>
    </r>
  </si>
  <si>
    <r>
      <rPr>
        <b/>
        <sz val="11"/>
        <color theme="4" tint="-0.249977111117893"/>
        <rFont val="Times New Roman"/>
        <family val="1"/>
        <charset val="204"/>
      </rPr>
      <t>Бухгалтерский учет</t>
    </r>
    <r>
      <rPr>
        <sz val="11"/>
        <color theme="4" tint="-0.249977111117893"/>
        <rFont val="Times New Roman"/>
        <family val="1"/>
        <charset val="204"/>
      </rPr>
      <t xml:space="preserve">
Отражены процентные расходы рассчитанные ранее по формуле (строка соответствующая дате начисления 28.02.2022г.)
</t>
    </r>
    <r>
      <rPr>
        <b/>
        <sz val="11"/>
        <color theme="4" tint="-0.249977111117893"/>
        <rFont val="Times New Roman"/>
        <family val="1"/>
        <charset val="204"/>
      </rPr>
      <t>Налоговый учет</t>
    </r>
    <r>
      <rPr>
        <sz val="11"/>
        <color theme="4" tint="-0.249977111117893"/>
        <rFont val="Times New Roman"/>
        <family val="1"/>
        <charset val="204"/>
      </rPr>
      <t xml:space="preserve">
Не предусмотрено</t>
    </r>
  </si>
  <si>
    <r>
      <rPr>
        <b/>
        <sz val="11"/>
        <color theme="4" tint="-0.249977111117893"/>
        <rFont val="Times New Roman"/>
        <family val="1"/>
        <charset val="204"/>
      </rPr>
      <t>Бухгалтерский учет</t>
    </r>
    <r>
      <rPr>
        <sz val="11"/>
        <color theme="4" tint="-0.249977111117893"/>
        <rFont val="Times New Roman"/>
        <family val="1"/>
        <charset val="204"/>
      </rPr>
      <t xml:space="preserve">
Изменен статус имущества с арендованного на собственный
</t>
    </r>
    <r>
      <rPr>
        <b/>
        <sz val="11"/>
        <color theme="4" tint="-0.249977111117893"/>
        <rFont val="Times New Roman"/>
        <family val="1"/>
        <charset val="204"/>
      </rPr>
      <t>Налоговый учет</t>
    </r>
    <r>
      <rPr>
        <sz val="11"/>
        <color theme="4" tint="-0.249977111117893"/>
        <rFont val="Times New Roman"/>
        <family val="1"/>
        <charset val="204"/>
      </rPr>
      <t xml:space="preserve">
Не предусмотрено</t>
    </r>
  </si>
  <si>
    <r>
      <rPr>
        <b/>
        <sz val="11"/>
        <color theme="4" tint="-0.249977111117893"/>
        <rFont val="Times New Roman"/>
        <family val="1"/>
        <charset val="204"/>
      </rPr>
      <t>Бухгалтерский учет</t>
    </r>
    <r>
      <rPr>
        <sz val="11"/>
        <color theme="4" tint="-0.249977111117893"/>
        <rFont val="Times New Roman"/>
        <family val="1"/>
        <charset val="204"/>
      </rPr>
      <t xml:space="preserve">
Изменен статус амортизации имущества с арендованного на собственный
</t>
    </r>
    <r>
      <rPr>
        <b/>
        <sz val="11"/>
        <color theme="4" tint="-0.249977111117893"/>
        <rFont val="Times New Roman"/>
        <family val="1"/>
        <charset val="204"/>
      </rPr>
      <t>Налоговый учет</t>
    </r>
    <r>
      <rPr>
        <sz val="11"/>
        <color theme="4" tint="-0.249977111117893"/>
        <rFont val="Times New Roman"/>
        <family val="1"/>
        <charset val="204"/>
      </rPr>
      <t xml:space="preserve">
Не предусмотрено</t>
    </r>
  </si>
  <si>
    <t>Сумма НДС с лизинговых платежей</t>
  </si>
  <si>
    <t>НДС с выкупной</t>
  </si>
  <si>
    <r>
      <rPr>
        <b/>
        <sz val="11"/>
        <color theme="4" tint="-0.249977111117893"/>
        <rFont val="Times New Roman"/>
        <family val="1"/>
        <charset val="204"/>
      </rPr>
      <t>Бухгалтерский учет</t>
    </r>
    <r>
      <rPr>
        <sz val="11"/>
        <color theme="4" tint="-0.249977111117893"/>
        <rFont val="Times New Roman"/>
        <family val="1"/>
        <charset val="204"/>
      </rPr>
      <t xml:space="preserve">
Отражается обязательство по аренде исходя из справедливой стоимости: стоимость имущества (справка о первоначальной стоимости) и выкупной стоимости по договору лизинга за вычетом перечисленного лизингодателю суммы аванса (без НДС)
2 000 000 +1 250 - 600 000=1 401 250 руб.
</t>
    </r>
    <r>
      <rPr>
        <b/>
        <sz val="11"/>
        <color rgb="FF004D9E"/>
        <rFont val="Times New Roman"/>
        <family val="1"/>
        <charset val="204"/>
      </rPr>
      <t xml:space="preserve">Налоговый учет
</t>
    </r>
    <r>
      <rPr>
        <sz val="11"/>
        <color rgb="FF004D9E"/>
        <rFont val="Times New Roman"/>
        <family val="1"/>
        <charset val="204"/>
      </rPr>
      <t>Не предусмотрено</t>
    </r>
  </si>
  <si>
    <r>
      <rPr>
        <b/>
        <sz val="11"/>
        <color theme="4" tint="-0.249977111117893"/>
        <rFont val="Times New Roman"/>
        <family val="1"/>
        <charset val="204"/>
      </rPr>
      <t>Бухгалтерский учет</t>
    </r>
    <r>
      <rPr>
        <sz val="11"/>
        <color theme="4" tint="-0.249977111117893"/>
        <rFont val="Times New Roman"/>
        <family val="1"/>
        <charset val="204"/>
      </rPr>
      <t xml:space="preserve">
Отражена сумма НДС с суммы авансового лизингового платежа в книге покупок
</t>
    </r>
    <r>
      <rPr>
        <b/>
        <sz val="11"/>
        <color theme="4" tint="-0.249977111117893"/>
        <rFont val="Times New Roman"/>
        <family val="1"/>
        <charset val="204"/>
      </rPr>
      <t xml:space="preserve">Налоговый учет
</t>
    </r>
    <r>
      <rPr>
        <sz val="11"/>
        <color theme="4" tint="-0.249977111117893"/>
        <rFont val="Times New Roman"/>
        <family val="1"/>
        <charset val="204"/>
      </rPr>
      <t>Отражена сумма НДС с суммы авансового лизингового платежа в книге покупок</t>
    </r>
  </si>
  <si>
    <r>
      <rPr>
        <b/>
        <sz val="11"/>
        <color theme="4" tint="-0.249977111117893"/>
        <rFont val="Times New Roman"/>
        <family val="1"/>
        <charset val="204"/>
      </rPr>
      <t>Бухгалтерский учет</t>
    </r>
    <r>
      <rPr>
        <sz val="11"/>
        <color theme="4" tint="-0.249977111117893"/>
        <rFont val="Times New Roman"/>
        <family val="1"/>
        <charset val="204"/>
      </rPr>
      <t xml:space="preserve">
 -
</t>
    </r>
    <r>
      <rPr>
        <b/>
        <sz val="11"/>
        <color theme="4" tint="-0.249977111117893"/>
        <rFont val="Times New Roman"/>
        <family val="1"/>
        <charset val="204"/>
      </rPr>
      <t>Налоговый учет</t>
    </r>
    <r>
      <rPr>
        <sz val="11"/>
        <color theme="4" tint="-0.249977111117893"/>
        <rFont val="Times New Roman"/>
        <family val="1"/>
        <charset val="204"/>
      </rPr>
      <t xml:space="preserve">
Отражен лизинговый платеж согласно графику к договору лизинга</t>
    </r>
  </si>
  <si>
    <r>
      <rPr>
        <b/>
        <sz val="11"/>
        <color theme="4" tint="-0.249977111117893"/>
        <rFont val="Times New Roman"/>
        <family val="1"/>
        <charset val="204"/>
      </rPr>
      <t>Бухгалтерский учет</t>
    </r>
    <r>
      <rPr>
        <sz val="11"/>
        <color theme="4" tint="-0.249977111117893"/>
        <rFont val="Times New Roman"/>
        <family val="1"/>
        <charset val="204"/>
      </rPr>
      <t xml:space="preserve">
 -
</t>
    </r>
    <r>
      <rPr>
        <b/>
        <sz val="11"/>
        <color theme="4" tint="-0.249977111117893"/>
        <rFont val="Times New Roman"/>
        <family val="1"/>
        <charset val="204"/>
      </rPr>
      <t xml:space="preserve">Налоговый учет
</t>
    </r>
    <r>
      <rPr>
        <sz val="11"/>
        <color theme="4" tint="-0.249977111117893"/>
        <rFont val="Times New Roman"/>
        <family val="1"/>
        <charset val="204"/>
      </rPr>
      <t>Отражена сумма НДС с суммы авансового лизингового платежа</t>
    </r>
  </si>
  <si>
    <t xml:space="preserve">Отражение операций по лизинговому имуществу 01.01.2022г. (дата передачи имущества в лизинг) </t>
  </si>
  <si>
    <t>Отражение операций по зачету Аванса 01.02.2022г.(датой счета-фактуры) 
первоначальный лизинговый платеж (аванс) признается (зачитывается) на дату и в сумме согласно графику лизинговых платежей</t>
  </si>
  <si>
    <r>
      <rPr>
        <b/>
        <sz val="11"/>
        <color theme="4" tint="-0.249977111117893"/>
        <rFont val="Times New Roman"/>
        <family val="1"/>
        <charset val="204"/>
      </rPr>
      <t>Бухгалтерский учет</t>
    </r>
    <r>
      <rPr>
        <sz val="11"/>
        <color theme="4" tint="-0.249977111117893"/>
        <rFont val="Times New Roman"/>
        <family val="1"/>
        <charset val="204"/>
      </rPr>
      <t xml:space="preserve">
Формирование стоимости ППА - увеличение ранее сформированной стоимости на сумму аванса по договору лизинга </t>
    </r>
    <r>
      <rPr>
        <b/>
        <sz val="11"/>
        <color theme="4" tint="-0.249977111117893"/>
        <rFont val="Times New Roman"/>
        <family val="1"/>
        <charset val="204"/>
      </rPr>
      <t>Налоговый учет</t>
    </r>
    <r>
      <rPr>
        <sz val="11"/>
        <color theme="4" tint="-0.249977111117893"/>
        <rFont val="Times New Roman"/>
        <family val="1"/>
        <charset val="204"/>
      </rPr>
      <t xml:space="preserve">
Не предусмотрено</t>
    </r>
  </si>
  <si>
    <r>
      <rPr>
        <b/>
        <sz val="11"/>
        <color theme="4" tint="-0.249977111117893"/>
        <rFont val="Times New Roman"/>
        <family val="1"/>
        <charset val="204"/>
      </rPr>
      <t>Бухгалтерский учет</t>
    </r>
    <r>
      <rPr>
        <sz val="11"/>
        <color theme="4" tint="-0.249977111117893"/>
        <rFont val="Times New Roman"/>
        <family val="1"/>
        <charset val="204"/>
      </rPr>
      <t xml:space="preserve">
Отражена сумма НДС с суммы авансового лизингового платежа
</t>
    </r>
    <r>
      <rPr>
        <b/>
        <sz val="11"/>
        <color theme="4" tint="-0.249977111117893"/>
        <rFont val="Times New Roman"/>
        <family val="1"/>
        <charset val="204"/>
      </rPr>
      <t xml:space="preserve">Налоговый учет
</t>
    </r>
    <r>
      <rPr>
        <sz val="11"/>
        <color theme="4" tint="-0.249977111117893"/>
        <rFont val="Times New Roman"/>
        <family val="1"/>
        <charset val="204"/>
      </rPr>
      <t>В момент получения счет-фактуры на зачет аванса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</si>
</sst>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393939"/>
      <name val="Times New Roman"/>
      <family val="1"/>
      <charset val="204"/>
    </font>
    <font>
      <sz val="11"/>
      <color rgb="FF004D9E"/>
      <name val="Times New Roman"/>
      <family val="1"/>
      <charset val="204"/>
    </font>
    <font>
      <b/>
      <sz val="11"/>
      <color rgb="FF004D9E"/>
      <name val="Times New Roman"/>
      <family val="1"/>
      <charset val="204"/>
    </font>
    <font>
      <sz val="11"/>
      <color theme="4" tint="-0.249977111117893"/>
      <name val="Times New Roman"/>
      <family val="1"/>
      <charset val="204"/>
    </font>
    <font>
      <b/>
      <i/>
      <sz val="11"/>
      <color theme="4" tint="-0.249977111117893"/>
      <name val="Times New Roman"/>
      <family val="1"/>
      <charset val="204"/>
    </font>
    <font>
      <b/>
      <sz val="11"/>
      <color theme="4" tint="-0.24997711111789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rgb="FF004D9E"/>
      </left>
      <right style="thin">
        <color rgb="FF004D9E"/>
      </right>
      <top style="thin">
        <color rgb="FF004D9E"/>
      </top>
      <bottom style="thin">
        <color rgb="FF004D9E"/>
      </bottom>
      <diagonal/>
    </border>
    <border>
      <left style="thin">
        <color rgb="FF004D9E"/>
      </left>
      <right style="thin">
        <color rgb="FF004D9E"/>
      </right>
      <top/>
      <bottom/>
      <diagonal/>
    </border>
    <border>
      <left style="thin">
        <color rgb="FF004D9E"/>
      </left>
      <right style="thin">
        <color rgb="FF004D9E"/>
      </right>
      <top style="thin">
        <color rgb="FF004D9E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4D9E"/>
      </left>
      <right/>
      <top style="thin">
        <color rgb="FF004D9E"/>
      </top>
      <bottom style="thin">
        <color rgb="FF004D9E"/>
      </bottom>
      <diagonal/>
    </border>
    <border>
      <left style="medium">
        <color rgb="FF004D9E"/>
      </left>
      <right style="thin">
        <color rgb="FF004D9E"/>
      </right>
      <top style="medium">
        <color rgb="FF004D9E"/>
      </top>
      <bottom style="thin">
        <color rgb="FF004D9E"/>
      </bottom>
      <diagonal/>
    </border>
    <border>
      <left style="thin">
        <color rgb="FF004D9E"/>
      </left>
      <right style="thin">
        <color rgb="FF004D9E"/>
      </right>
      <top style="medium">
        <color rgb="FF004D9E"/>
      </top>
      <bottom style="thin">
        <color rgb="FF004D9E"/>
      </bottom>
      <diagonal/>
    </border>
    <border>
      <left style="thin">
        <color rgb="FF004D9E"/>
      </left>
      <right style="medium">
        <color rgb="FF004D9E"/>
      </right>
      <top style="medium">
        <color rgb="FF004D9E"/>
      </top>
      <bottom style="thin">
        <color rgb="FF004D9E"/>
      </bottom>
      <diagonal/>
    </border>
    <border>
      <left style="medium">
        <color rgb="FF004D9E"/>
      </left>
      <right style="thin">
        <color rgb="FF004D9E"/>
      </right>
      <top style="thin">
        <color rgb="FF004D9E"/>
      </top>
      <bottom style="thin">
        <color rgb="FF004D9E"/>
      </bottom>
      <diagonal/>
    </border>
    <border>
      <left style="thin">
        <color rgb="FF004D9E"/>
      </left>
      <right style="medium">
        <color rgb="FF004D9E"/>
      </right>
      <top style="thin">
        <color rgb="FF004D9E"/>
      </top>
      <bottom style="thin">
        <color rgb="FF004D9E"/>
      </bottom>
      <diagonal/>
    </border>
    <border>
      <left style="medium">
        <color rgb="FF004D9E"/>
      </left>
      <right style="thin">
        <color rgb="FF004D9E"/>
      </right>
      <top style="thin">
        <color rgb="FF004D9E"/>
      </top>
      <bottom style="medium">
        <color rgb="FF004D9E"/>
      </bottom>
      <diagonal/>
    </border>
    <border>
      <left style="thin">
        <color rgb="FF004D9E"/>
      </left>
      <right style="thin">
        <color rgb="FF004D9E"/>
      </right>
      <top style="thin">
        <color rgb="FF004D9E"/>
      </top>
      <bottom style="medium">
        <color rgb="FF004D9E"/>
      </bottom>
      <diagonal/>
    </border>
    <border>
      <left style="thin">
        <color rgb="FF004D9E"/>
      </left>
      <right style="medium">
        <color rgb="FF004D9E"/>
      </right>
      <top style="thin">
        <color rgb="FF004D9E"/>
      </top>
      <bottom style="medium">
        <color rgb="FF004D9E"/>
      </bottom>
      <diagonal/>
    </border>
    <border>
      <left style="medium">
        <color rgb="FF004D9E"/>
      </left>
      <right style="medium">
        <color rgb="FF004D9E"/>
      </right>
      <top style="medium">
        <color rgb="FF004D9E"/>
      </top>
      <bottom style="thin">
        <color rgb="FF004D9E"/>
      </bottom>
      <diagonal/>
    </border>
    <border>
      <left style="medium">
        <color rgb="FF004D9E"/>
      </left>
      <right/>
      <top style="thin">
        <color rgb="FF004D9E"/>
      </top>
      <bottom style="thin">
        <color rgb="FF004D9E"/>
      </bottom>
      <diagonal/>
    </border>
    <border>
      <left/>
      <right style="medium">
        <color rgb="FF004D9E"/>
      </right>
      <top style="thin">
        <color rgb="FF004D9E"/>
      </top>
      <bottom style="thin">
        <color rgb="FF004D9E"/>
      </bottom>
      <diagonal/>
    </border>
    <border>
      <left style="medium">
        <color rgb="FF004D9E"/>
      </left>
      <right style="medium">
        <color rgb="FF004D9E"/>
      </right>
      <top style="thin">
        <color rgb="FF004D9E"/>
      </top>
      <bottom style="thin">
        <color rgb="FF004D9E"/>
      </bottom>
      <diagonal/>
    </border>
    <border>
      <left style="medium">
        <color rgb="FF004D9E"/>
      </left>
      <right style="medium">
        <color rgb="FF004D9E"/>
      </right>
      <top style="thin">
        <color rgb="FF004D9E"/>
      </top>
      <bottom style="medium">
        <color rgb="FF004D9E"/>
      </bottom>
      <diagonal/>
    </border>
    <border>
      <left style="thin">
        <color rgb="FF004D9E"/>
      </left>
      <right/>
      <top style="thin">
        <color rgb="FF004D9E"/>
      </top>
      <bottom style="medium">
        <color rgb="FF004D9E"/>
      </bottom>
      <diagonal/>
    </border>
    <border>
      <left style="thin">
        <color rgb="FF004D9E"/>
      </left>
      <right/>
      <top style="medium">
        <color rgb="FF004D9E"/>
      </top>
      <bottom style="thin">
        <color rgb="FF004D9E"/>
      </bottom>
      <diagonal/>
    </border>
    <border>
      <left/>
      <right/>
      <top style="thin">
        <color rgb="FF004D9E"/>
      </top>
      <bottom style="thin">
        <color rgb="FF004D9E"/>
      </bottom>
      <diagonal/>
    </border>
    <border>
      <left/>
      <right/>
      <top style="medium">
        <color rgb="FF004D9E"/>
      </top>
      <bottom/>
      <diagonal/>
    </border>
    <border>
      <left/>
      <right/>
      <top style="medium">
        <color rgb="FF004D9E"/>
      </top>
      <bottom style="medium">
        <color rgb="FF004D9E"/>
      </bottom>
      <diagonal/>
    </border>
    <border>
      <left/>
      <right style="medium">
        <color rgb="FF004D9E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rgb="FF004D9E"/>
      </left>
      <right/>
      <top/>
      <bottom style="medium">
        <color rgb="FF004D9E"/>
      </bottom>
      <diagonal/>
    </border>
    <border>
      <left/>
      <right/>
      <top/>
      <bottom style="medium">
        <color rgb="FF004D9E"/>
      </bottom>
      <diagonal/>
    </border>
    <border>
      <left/>
      <right style="medium">
        <color rgb="FF004D9E"/>
      </right>
      <top/>
      <bottom style="medium">
        <color rgb="FF004D9E"/>
      </bottom>
      <diagonal/>
    </border>
    <border>
      <left style="medium">
        <color indexed="64"/>
      </left>
      <right style="thin">
        <color rgb="FF004D9E"/>
      </right>
      <top style="medium">
        <color indexed="64"/>
      </top>
      <bottom style="thin">
        <color rgb="FF004D9E"/>
      </bottom>
      <diagonal/>
    </border>
    <border>
      <left style="thin">
        <color rgb="FF004D9E"/>
      </left>
      <right style="thin">
        <color rgb="FF004D9E"/>
      </right>
      <top style="medium">
        <color indexed="64"/>
      </top>
      <bottom style="thin">
        <color rgb="FF004D9E"/>
      </bottom>
      <diagonal/>
    </border>
    <border>
      <left style="thin">
        <color rgb="FF004D9E"/>
      </left>
      <right style="medium">
        <color rgb="FF004D9E"/>
      </right>
      <top style="medium">
        <color indexed="64"/>
      </top>
      <bottom style="thin">
        <color rgb="FF004D9E"/>
      </bottom>
      <diagonal/>
    </border>
    <border>
      <left style="medium">
        <color rgb="FF004D9E"/>
      </left>
      <right style="thin">
        <color rgb="FF004D9E"/>
      </right>
      <top style="medium">
        <color indexed="64"/>
      </top>
      <bottom style="thin">
        <color rgb="FF004D9E"/>
      </bottom>
      <diagonal/>
    </border>
    <border>
      <left/>
      <right style="medium">
        <color indexed="64"/>
      </right>
      <top style="medium">
        <color indexed="64"/>
      </top>
      <bottom style="thin">
        <color rgb="FF004D9E"/>
      </bottom>
      <diagonal/>
    </border>
    <border>
      <left style="medium">
        <color indexed="64"/>
      </left>
      <right style="thin">
        <color rgb="FF004D9E"/>
      </right>
      <top style="thin">
        <color rgb="FF004D9E"/>
      </top>
      <bottom style="thin">
        <color rgb="FF004D9E"/>
      </bottom>
      <diagonal/>
    </border>
    <border>
      <left/>
      <right style="medium">
        <color indexed="64"/>
      </right>
      <top style="thin">
        <color rgb="FF004D9E"/>
      </top>
      <bottom style="thin">
        <color rgb="FF004D9E"/>
      </bottom>
      <diagonal/>
    </border>
    <border>
      <left style="medium">
        <color indexed="64"/>
      </left>
      <right/>
      <top style="thin">
        <color rgb="FF004D9E"/>
      </top>
      <bottom style="thin">
        <color rgb="FF004D9E"/>
      </bottom>
      <diagonal/>
    </border>
    <border>
      <left style="medium">
        <color indexed="64"/>
      </left>
      <right style="thin">
        <color rgb="FF004D9E"/>
      </right>
      <top style="thin">
        <color rgb="FF004D9E"/>
      </top>
      <bottom style="medium">
        <color indexed="64"/>
      </bottom>
      <diagonal/>
    </border>
    <border>
      <left style="thin">
        <color rgb="FF004D9E"/>
      </left>
      <right style="thin">
        <color rgb="FF004D9E"/>
      </right>
      <top style="thin">
        <color rgb="FF004D9E"/>
      </top>
      <bottom style="medium">
        <color indexed="64"/>
      </bottom>
      <diagonal/>
    </border>
    <border>
      <left style="thin">
        <color rgb="FF004D9E"/>
      </left>
      <right style="medium">
        <color rgb="FF004D9E"/>
      </right>
      <top style="thin">
        <color rgb="FF004D9E"/>
      </top>
      <bottom style="medium">
        <color indexed="64"/>
      </bottom>
      <diagonal/>
    </border>
    <border>
      <left style="medium">
        <color rgb="FF004D9E"/>
      </left>
      <right style="thin">
        <color rgb="FF004D9E"/>
      </right>
      <top style="thin">
        <color rgb="FF004D9E"/>
      </top>
      <bottom style="medium">
        <color indexed="64"/>
      </bottom>
      <diagonal/>
    </border>
    <border>
      <left/>
      <right style="medium">
        <color indexed="64"/>
      </right>
      <top style="thin">
        <color rgb="FF004D9E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4D9E"/>
      </bottom>
      <diagonal/>
    </border>
    <border>
      <left/>
      <right/>
      <top style="medium">
        <color indexed="64"/>
      </top>
      <bottom style="medium">
        <color rgb="FF004D9E"/>
      </bottom>
      <diagonal/>
    </border>
    <border>
      <left/>
      <right style="medium">
        <color indexed="64"/>
      </right>
      <top style="medium">
        <color indexed="64"/>
      </top>
      <bottom style="medium">
        <color rgb="FF004D9E"/>
      </bottom>
      <diagonal/>
    </border>
    <border>
      <left style="medium">
        <color indexed="64"/>
      </left>
      <right style="thin">
        <color rgb="FF004D9E"/>
      </right>
      <top style="medium">
        <color rgb="FF004D9E"/>
      </top>
      <bottom style="thin">
        <color rgb="FF004D9E"/>
      </bottom>
      <diagonal/>
    </border>
    <border>
      <left style="medium">
        <color rgb="FF004D9E"/>
      </left>
      <right style="medium">
        <color indexed="64"/>
      </right>
      <top style="medium">
        <color rgb="FF004D9E"/>
      </top>
      <bottom style="thin">
        <color rgb="FF004D9E"/>
      </bottom>
      <diagonal/>
    </border>
    <border>
      <left style="medium">
        <color rgb="FF004D9E"/>
      </left>
      <right style="medium">
        <color indexed="64"/>
      </right>
      <top style="thin">
        <color rgb="FF004D9E"/>
      </top>
      <bottom style="thin">
        <color rgb="FF004D9E"/>
      </bottom>
      <diagonal/>
    </border>
    <border>
      <left style="medium">
        <color indexed="64"/>
      </left>
      <right style="thin">
        <color rgb="FF004D9E"/>
      </right>
      <top style="thin">
        <color rgb="FF004D9E"/>
      </top>
      <bottom style="medium">
        <color rgb="FF004D9E"/>
      </bottom>
      <diagonal/>
    </border>
    <border>
      <left style="medium">
        <color rgb="FF004D9E"/>
      </left>
      <right style="medium">
        <color indexed="64"/>
      </right>
      <top style="thin">
        <color rgb="FF004D9E"/>
      </top>
      <bottom style="medium">
        <color rgb="FF004D9E"/>
      </bottom>
      <diagonal/>
    </border>
    <border>
      <left style="medium">
        <color indexed="64"/>
      </left>
      <right/>
      <top style="medium">
        <color rgb="FF004D9E"/>
      </top>
      <bottom style="medium">
        <color rgb="FF004D9E"/>
      </bottom>
      <diagonal/>
    </border>
    <border>
      <left/>
      <right style="medium">
        <color indexed="64"/>
      </right>
      <top style="medium">
        <color rgb="FF004D9E"/>
      </top>
      <bottom style="medium">
        <color rgb="FF004D9E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3" fontId="2" fillId="0" borderId="0" xfId="0" applyNumberFormat="1" applyFont="1"/>
    <xf numFmtId="38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3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5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38" fontId="5" fillId="0" borderId="3" xfId="0" applyNumberFormat="1" applyFont="1" applyBorder="1" applyAlignment="1">
      <alignment horizontal="left" vertical="center"/>
    </xf>
    <xf numFmtId="38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38" fontId="5" fillId="0" borderId="1" xfId="0" applyNumberFormat="1" applyFont="1" applyFill="1" applyBorder="1" applyAlignment="1">
      <alignment horizontal="left" vertical="center"/>
    </xf>
    <xf numFmtId="10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8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Fill="1"/>
    <xf numFmtId="38" fontId="5" fillId="0" borderId="1" xfId="0" applyNumberFormat="1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justify" vertical="center" wrapText="1"/>
    </xf>
    <xf numFmtId="4" fontId="7" fillId="0" borderId="24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4" fontId="7" fillId="0" borderId="12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9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justify" vertical="center" wrapText="1"/>
    </xf>
    <xf numFmtId="3" fontId="2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4" fontId="7" fillId="0" borderId="14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4" fontId="7" fillId="0" borderId="14" xfId="0" applyNumberFormat="1" applyFont="1" applyFill="1" applyBorder="1" applyAlignment="1">
      <alignment horizontal="center" vertical="center"/>
    </xf>
    <xf numFmtId="4" fontId="7" fillId="0" borderId="14" xfId="0" applyNumberFormat="1" applyFont="1" applyFill="1" applyBorder="1" applyAlignment="1">
      <alignment horizontal="right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49" fontId="7" fillId="0" borderId="41" xfId="0" applyNumberFormat="1" applyFont="1" applyBorder="1" applyAlignment="1">
      <alignment horizontal="center" vertical="center" wrapText="1"/>
    </xf>
    <xf numFmtId="49" fontId="7" fillId="0" borderId="39" xfId="0" applyNumberFormat="1" applyFont="1" applyBorder="1" applyAlignment="1">
      <alignment horizontal="center" vertical="center" wrapText="1"/>
    </xf>
    <xf numFmtId="49" fontId="7" fillId="0" borderId="40" xfId="0" applyNumberFormat="1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justify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/>
    </xf>
    <xf numFmtId="49" fontId="7" fillId="0" borderId="43" xfId="0" applyNumberFormat="1" applyFont="1" applyBorder="1" applyAlignment="1">
      <alignment horizontal="center" vertical="center"/>
    </xf>
    <xf numFmtId="49" fontId="7" fillId="0" borderId="46" xfId="0" applyNumberFormat="1" applyFont="1" applyBorder="1" applyAlignment="1">
      <alignment horizontal="center" vertical="center"/>
    </xf>
    <xf numFmtId="49" fontId="7" fillId="0" borderId="47" xfId="0" applyNumberFormat="1" applyFont="1" applyBorder="1" applyAlignment="1">
      <alignment horizontal="center" vertical="center"/>
    </xf>
    <xf numFmtId="4" fontId="7" fillId="0" borderId="48" xfId="0" applyNumberFormat="1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4" fontId="7" fillId="0" borderId="48" xfId="0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justify" vertical="center" wrapText="1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justify" vertical="center" wrapText="1"/>
    </xf>
    <xf numFmtId="0" fontId="7" fillId="0" borderId="56" xfId="0" applyFont="1" applyBorder="1" applyAlignment="1">
      <alignment horizontal="justify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justify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/>
    </xf>
    <xf numFmtId="4" fontId="7" fillId="0" borderId="48" xfId="0" applyNumberFormat="1" applyFont="1" applyFill="1" applyBorder="1" applyAlignment="1">
      <alignment horizontal="center" vertical="center"/>
    </xf>
    <xf numFmtId="49" fontId="7" fillId="0" borderId="49" xfId="0" applyNumberFormat="1" applyFont="1" applyBorder="1" applyAlignment="1">
      <alignment horizontal="center" vertical="center"/>
    </xf>
    <xf numFmtId="4" fontId="7" fillId="0" borderId="48" xfId="0" applyNumberFormat="1" applyFont="1" applyFill="1" applyBorder="1" applyAlignment="1">
      <alignment horizontal="right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004D9E"/>
      <color rgb="FF3939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E6A69-2ECA-45A0-88BF-359E78128F79}">
  <sheetPr>
    <pageSetUpPr fitToPage="1"/>
  </sheetPr>
  <dimension ref="C2:P44"/>
  <sheetViews>
    <sheetView showGridLines="0" zoomScale="80" zoomScaleNormal="80" workbookViewId="0">
      <selection activeCell="I5" sqref="I5"/>
    </sheetView>
  </sheetViews>
  <sheetFormatPr defaultRowHeight="15" outlineLevelRow="1" outlineLevelCol="1" x14ac:dyDescent="0.25"/>
  <cols>
    <col min="1" max="1" width="4.28515625" style="1" customWidth="1"/>
    <col min="2" max="2" width="3.28515625" style="1" bestFit="1" customWidth="1"/>
    <col min="3" max="3" width="47.5703125" style="1" customWidth="1"/>
    <col min="4" max="4" width="14.5703125" style="1" bestFit="1" customWidth="1"/>
    <col min="5" max="5" width="3.7109375" style="1" customWidth="1"/>
    <col min="6" max="6" width="17.85546875" style="1" customWidth="1"/>
    <col min="7" max="7" width="13.28515625" style="1" customWidth="1"/>
    <col min="8" max="8" width="19.42578125" style="1" customWidth="1"/>
    <col min="9" max="9" width="17.140625" style="1" customWidth="1" outlineLevel="1"/>
    <col min="10" max="10" width="3.42578125" style="1" customWidth="1"/>
    <col min="11" max="11" width="14.5703125" style="1" customWidth="1"/>
    <col min="12" max="12" width="13.7109375" style="1" customWidth="1"/>
    <col min="13" max="13" width="15.5703125" style="1" customWidth="1"/>
    <col min="14" max="14" width="12.28515625" style="1" customWidth="1"/>
    <col min="15" max="15" width="15.7109375" style="1" customWidth="1"/>
    <col min="16" max="16" width="12" style="1" customWidth="1"/>
    <col min="17" max="16384" width="9.140625" style="1"/>
  </cols>
  <sheetData>
    <row r="2" spans="3:16" x14ac:dyDescent="0.25">
      <c r="C2" s="2" t="s">
        <v>7</v>
      </c>
      <c r="F2" s="2" t="s">
        <v>6</v>
      </c>
      <c r="K2" s="2" t="s">
        <v>18</v>
      </c>
      <c r="N2" s="2" t="s">
        <v>10</v>
      </c>
    </row>
    <row r="3" spans="3:16" x14ac:dyDescent="0.25">
      <c r="C3" s="2"/>
      <c r="F3" s="2"/>
      <c r="K3" s="2"/>
      <c r="N3" s="2"/>
    </row>
    <row r="4" spans="3:16" ht="31.5" customHeight="1" x14ac:dyDescent="0.25">
      <c r="C4" s="14" t="s">
        <v>2</v>
      </c>
      <c r="D4" s="5">
        <v>2000000</v>
      </c>
      <c r="F4" s="6" t="s">
        <v>4</v>
      </c>
      <c r="G4" s="6" t="s">
        <v>5</v>
      </c>
      <c r="H4" s="6" t="s">
        <v>32</v>
      </c>
      <c r="I4" s="6" t="s">
        <v>3</v>
      </c>
      <c r="K4" s="6" t="s">
        <v>13</v>
      </c>
      <c r="L4" s="6" t="s">
        <v>12</v>
      </c>
      <c r="M4" s="7" t="s">
        <v>11</v>
      </c>
      <c r="N4" s="6" t="s">
        <v>15</v>
      </c>
      <c r="O4" s="6" t="s">
        <v>9</v>
      </c>
    </row>
    <row r="5" spans="3:16" outlineLevel="1" x14ac:dyDescent="0.25">
      <c r="C5" s="14" t="s">
        <v>17</v>
      </c>
      <c r="D5" s="8">
        <v>0.3</v>
      </c>
      <c r="F5" s="9" t="s">
        <v>14</v>
      </c>
      <c r="G5" s="10">
        <v>44562</v>
      </c>
      <c r="H5" s="5"/>
      <c r="I5" s="5">
        <f>-D4-D15</f>
        <v>-2001250</v>
      </c>
      <c r="M5" s="3"/>
    </row>
    <row r="6" spans="3:16" x14ac:dyDescent="0.25">
      <c r="C6" s="14" t="s">
        <v>16</v>
      </c>
      <c r="D6" s="5">
        <v>36</v>
      </c>
      <c r="F6" s="9" t="s">
        <v>0</v>
      </c>
      <c r="G6" s="10">
        <v>44562</v>
      </c>
      <c r="H6" s="5">
        <v>600000</v>
      </c>
      <c r="I6" s="5">
        <f>H6</f>
        <v>600000</v>
      </c>
      <c r="K6" s="5"/>
      <c r="L6" s="5"/>
      <c r="M6" s="3"/>
      <c r="N6" s="5"/>
      <c r="O6" s="5"/>
    </row>
    <row r="7" spans="3:16" x14ac:dyDescent="0.25">
      <c r="C7" s="14" t="s">
        <v>8</v>
      </c>
      <c r="D7" s="5">
        <v>50000</v>
      </c>
      <c r="F7" s="9" t="s">
        <v>44</v>
      </c>
      <c r="G7" s="10">
        <v>44562</v>
      </c>
      <c r="H7" s="5">
        <v>0</v>
      </c>
      <c r="I7" s="5">
        <f>H7</f>
        <v>0</v>
      </c>
      <c r="K7" s="5"/>
      <c r="L7" s="5"/>
      <c r="M7" s="11"/>
      <c r="N7" s="12">
        <f>D10</f>
        <v>2001250.006863995</v>
      </c>
      <c r="O7" s="12">
        <f>D9</f>
        <v>1401250.006863995</v>
      </c>
      <c r="P7" s="4"/>
    </row>
    <row r="8" spans="3:16" s="28" customFormat="1" x14ac:dyDescent="0.25">
      <c r="C8" s="26" t="s">
        <v>30</v>
      </c>
      <c r="D8" s="27">
        <f>XIRR(I5:I43,G5:G43)</f>
        <v>0.18564234375953675</v>
      </c>
      <c r="F8" s="29">
        <v>1</v>
      </c>
      <c r="G8" s="30">
        <v>44592</v>
      </c>
      <c r="H8" s="31">
        <v>50000</v>
      </c>
      <c r="I8" s="31">
        <f>H8</f>
        <v>50000</v>
      </c>
      <c r="K8" s="31"/>
      <c r="L8" s="32">
        <f>O7*((1+$D$8)^((G8-G7)/365)-1)</f>
        <v>19749.78439536857</v>
      </c>
      <c r="M8" s="33">
        <f>H8-L8</f>
        <v>30250.21560463143</v>
      </c>
      <c r="N8" s="31">
        <f>N7-K8</f>
        <v>2001250.006863995</v>
      </c>
      <c r="O8" s="31">
        <f>O7-M8</f>
        <v>1370999.7912593635</v>
      </c>
      <c r="P8" s="34"/>
    </row>
    <row r="9" spans="3:16" x14ac:dyDescent="0.25">
      <c r="C9" s="14" t="s">
        <v>28</v>
      </c>
      <c r="D9" s="5">
        <f>XNPV(D8,I7:I43,G7:G43)</f>
        <v>1401250.006863995</v>
      </c>
      <c r="F9" s="9">
        <v>2</v>
      </c>
      <c r="G9" s="10">
        <f t="shared" ref="G9:G43" si="0">EDATE(G$8,F8)</f>
        <v>44620</v>
      </c>
      <c r="H9" s="5">
        <f>H8</f>
        <v>50000</v>
      </c>
      <c r="I9" s="5">
        <f t="shared" ref="I9:I43" si="1">H9</f>
        <v>50000</v>
      </c>
      <c r="K9" s="18">
        <f>D10/D11</f>
        <v>57178.571624685574</v>
      </c>
      <c r="L9" s="18">
        <f>O8*((1+$D$8)^((G9-G8)/365)-1)</f>
        <v>18026.766222480259</v>
      </c>
      <c r="M9" s="19">
        <f t="shared" ref="M9:M10" si="2">H9-L9</f>
        <v>31973.233777519741</v>
      </c>
      <c r="N9" s="5">
        <f t="shared" ref="N9:N10" si="3">N8-K9</f>
        <v>1944071.4352393094</v>
      </c>
      <c r="O9" s="5">
        <f t="shared" ref="O9:O10" si="4">O8-M9</f>
        <v>1339026.5574818437</v>
      </c>
      <c r="P9" s="4"/>
    </row>
    <row r="10" spans="3:16" x14ac:dyDescent="0.25">
      <c r="C10" s="14" t="s">
        <v>29</v>
      </c>
      <c r="D10" s="5">
        <f>D9+D4*D5</f>
        <v>2001250.006863995</v>
      </c>
      <c r="F10" s="9">
        <v>3</v>
      </c>
      <c r="G10" s="10">
        <f t="shared" si="0"/>
        <v>44651</v>
      </c>
      <c r="H10" s="5">
        <f t="shared" ref="H10:H42" si="5">H9</f>
        <v>50000</v>
      </c>
      <c r="I10" s="5">
        <f t="shared" si="1"/>
        <v>50000</v>
      </c>
      <c r="K10" s="18">
        <f>K9</f>
        <v>57178.571624685574</v>
      </c>
      <c r="L10" s="18">
        <f t="shared" ref="L10:L42" si="6">O9*((1+$D$8)^((G10-G9)/365)-1)</f>
        <v>19506.435121234179</v>
      </c>
      <c r="M10" s="19">
        <f t="shared" si="2"/>
        <v>30493.564878765821</v>
      </c>
      <c r="N10" s="5">
        <f t="shared" si="3"/>
        <v>1886892.8636146239</v>
      </c>
      <c r="O10" s="5">
        <f t="shared" si="4"/>
        <v>1308532.992603078</v>
      </c>
      <c r="P10" s="4"/>
    </row>
    <row r="11" spans="3:16" x14ac:dyDescent="0.25">
      <c r="C11" s="16" t="s">
        <v>31</v>
      </c>
      <c r="D11" s="17">
        <v>35</v>
      </c>
      <c r="F11" s="9">
        <v>4</v>
      </c>
      <c r="G11" s="10">
        <f t="shared" si="0"/>
        <v>44681</v>
      </c>
      <c r="H11" s="5">
        <f t="shared" si="5"/>
        <v>50000</v>
      </c>
      <c r="I11" s="5">
        <f t="shared" si="1"/>
        <v>50000</v>
      </c>
      <c r="K11" s="18">
        <f t="shared" ref="K11:K43" si="7">K10</f>
        <v>57178.571624685574</v>
      </c>
      <c r="L11" s="18">
        <f t="shared" si="6"/>
        <v>18442.993292806132</v>
      </c>
      <c r="M11" s="19">
        <f t="shared" ref="M11:M43" si="8">H11-L11</f>
        <v>31557.006707193868</v>
      </c>
      <c r="N11" s="5">
        <f t="shared" ref="N11:N41" si="9">N10-K11</f>
        <v>1829714.2919899384</v>
      </c>
      <c r="O11" s="5">
        <f t="shared" ref="O11:O42" si="10">O10-M11</f>
        <v>1276975.9858958842</v>
      </c>
      <c r="P11" s="4"/>
    </row>
    <row r="12" spans="3:16" x14ac:dyDescent="0.25">
      <c r="C12" s="14" t="s">
        <v>24</v>
      </c>
      <c r="D12" s="5">
        <v>3</v>
      </c>
      <c r="F12" s="9">
        <v>5</v>
      </c>
      <c r="G12" s="10">
        <f t="shared" si="0"/>
        <v>44712</v>
      </c>
      <c r="H12" s="5">
        <f t="shared" si="5"/>
        <v>50000</v>
      </c>
      <c r="I12" s="5">
        <f t="shared" si="1"/>
        <v>50000</v>
      </c>
      <c r="K12" s="18">
        <f t="shared" si="7"/>
        <v>57178.571624685574</v>
      </c>
      <c r="L12" s="18">
        <f t="shared" si="6"/>
        <v>18602.505739016957</v>
      </c>
      <c r="M12" s="19">
        <f t="shared" si="8"/>
        <v>31397.494260983043</v>
      </c>
      <c r="N12" s="5">
        <f t="shared" si="9"/>
        <v>1772535.7203652528</v>
      </c>
      <c r="O12" s="5">
        <f t="shared" si="10"/>
        <v>1245578.4916349011</v>
      </c>
      <c r="P12" s="4"/>
    </row>
    <row r="13" spans="3:16" x14ac:dyDescent="0.25">
      <c r="C13" s="14" t="s">
        <v>27</v>
      </c>
      <c r="D13" s="5">
        <v>37</v>
      </c>
      <c r="F13" s="9">
        <v>6</v>
      </c>
      <c r="G13" s="10">
        <f t="shared" si="0"/>
        <v>44742</v>
      </c>
      <c r="H13" s="5">
        <f t="shared" si="5"/>
        <v>50000</v>
      </c>
      <c r="I13" s="5">
        <f t="shared" si="1"/>
        <v>50000</v>
      </c>
      <c r="K13" s="18">
        <f t="shared" si="7"/>
        <v>57178.571624685574</v>
      </c>
      <c r="L13" s="18">
        <f t="shared" si="6"/>
        <v>17555.687091379514</v>
      </c>
      <c r="M13" s="19">
        <f t="shared" si="8"/>
        <v>32444.312908620486</v>
      </c>
      <c r="N13" s="5">
        <f t="shared" si="9"/>
        <v>1715357.1487405673</v>
      </c>
      <c r="O13" s="5">
        <f t="shared" si="10"/>
        <v>1213134.1787262806</v>
      </c>
      <c r="P13" s="4"/>
    </row>
    <row r="14" spans="3:16" x14ac:dyDescent="0.25">
      <c r="C14" s="14" t="s">
        <v>25</v>
      </c>
      <c r="D14" s="5" t="s">
        <v>26</v>
      </c>
      <c r="F14" s="9">
        <v>7</v>
      </c>
      <c r="G14" s="10">
        <f t="shared" si="0"/>
        <v>44773</v>
      </c>
      <c r="H14" s="5">
        <f t="shared" si="5"/>
        <v>50000</v>
      </c>
      <c r="I14" s="5">
        <f t="shared" si="1"/>
        <v>50000</v>
      </c>
      <c r="K14" s="18">
        <f t="shared" si="7"/>
        <v>57178.571624685574</v>
      </c>
      <c r="L14" s="18">
        <f t="shared" si="6"/>
        <v>17672.48231071531</v>
      </c>
      <c r="M14" s="19">
        <f t="shared" si="8"/>
        <v>32327.51768928469</v>
      </c>
      <c r="N14" s="5">
        <f t="shared" si="9"/>
        <v>1658178.5771158817</v>
      </c>
      <c r="O14" s="5">
        <f t="shared" si="10"/>
        <v>1180806.6610369959</v>
      </c>
      <c r="P14" s="4"/>
    </row>
    <row r="15" spans="3:16" ht="17.25" customHeight="1" x14ac:dyDescent="0.25">
      <c r="C15" s="35" t="s">
        <v>50</v>
      </c>
      <c r="D15" s="5">
        <v>1250</v>
      </c>
      <c r="F15" s="9">
        <v>8</v>
      </c>
      <c r="G15" s="10">
        <f t="shared" si="0"/>
        <v>44804</v>
      </c>
      <c r="H15" s="5">
        <f t="shared" si="5"/>
        <v>50000</v>
      </c>
      <c r="I15" s="5">
        <f t="shared" si="1"/>
        <v>50000</v>
      </c>
      <c r="K15" s="18">
        <f t="shared" si="7"/>
        <v>57178.571624685574</v>
      </c>
      <c r="L15" s="18">
        <f t="shared" si="6"/>
        <v>17201.547195266616</v>
      </c>
      <c r="M15" s="19">
        <f t="shared" si="8"/>
        <v>32798.452804733388</v>
      </c>
      <c r="N15" s="5">
        <f t="shared" si="9"/>
        <v>1601000.0054911962</v>
      </c>
      <c r="O15" s="5">
        <f t="shared" si="10"/>
        <v>1148008.2082322626</v>
      </c>
      <c r="P15" s="4"/>
    </row>
    <row r="16" spans="3:16" x14ac:dyDescent="0.25">
      <c r="F16" s="9">
        <v>9</v>
      </c>
      <c r="G16" s="10">
        <f t="shared" si="0"/>
        <v>44834</v>
      </c>
      <c r="H16" s="5">
        <f t="shared" si="5"/>
        <v>50000</v>
      </c>
      <c r="I16" s="5">
        <f t="shared" si="1"/>
        <v>50000</v>
      </c>
      <c r="K16" s="18">
        <f t="shared" si="7"/>
        <v>57178.571624685574</v>
      </c>
      <c r="L16" s="18">
        <f t="shared" si="6"/>
        <v>16180.49205041053</v>
      </c>
      <c r="M16" s="19">
        <f t="shared" si="8"/>
        <v>33819.507949589468</v>
      </c>
      <c r="N16" s="5">
        <f t="shared" si="9"/>
        <v>1543821.4338665106</v>
      </c>
      <c r="O16" s="5">
        <f t="shared" si="10"/>
        <v>1114188.7002826731</v>
      </c>
      <c r="P16" s="4"/>
    </row>
    <row r="17" spans="6:16" x14ac:dyDescent="0.25">
      <c r="F17" s="9">
        <v>10</v>
      </c>
      <c r="G17" s="10">
        <f t="shared" si="0"/>
        <v>44865</v>
      </c>
      <c r="H17" s="5">
        <f t="shared" si="5"/>
        <v>50000</v>
      </c>
      <c r="I17" s="5">
        <f t="shared" si="1"/>
        <v>50000</v>
      </c>
      <c r="K17" s="18">
        <f t="shared" si="7"/>
        <v>57178.571624685574</v>
      </c>
      <c r="L17" s="18">
        <f t="shared" si="6"/>
        <v>16231.08180598643</v>
      </c>
      <c r="M17" s="19">
        <f t="shared" si="8"/>
        <v>33768.918194013568</v>
      </c>
      <c r="N17" s="5">
        <f t="shared" si="9"/>
        <v>1486642.8622418251</v>
      </c>
      <c r="O17" s="5">
        <f t="shared" si="10"/>
        <v>1080419.7820886595</v>
      </c>
      <c r="P17" s="4"/>
    </row>
    <row r="18" spans="6:16" x14ac:dyDescent="0.25">
      <c r="F18" s="9">
        <v>11</v>
      </c>
      <c r="G18" s="10">
        <f t="shared" si="0"/>
        <v>44895</v>
      </c>
      <c r="H18" s="5">
        <f t="shared" si="5"/>
        <v>50000</v>
      </c>
      <c r="I18" s="5">
        <f t="shared" si="1"/>
        <v>50000</v>
      </c>
      <c r="K18" s="18">
        <f t="shared" si="7"/>
        <v>57178.571624685574</v>
      </c>
      <c r="L18" s="18">
        <f t="shared" si="6"/>
        <v>15227.873433161871</v>
      </c>
      <c r="M18" s="19">
        <f t="shared" si="8"/>
        <v>34772.126566838131</v>
      </c>
      <c r="N18" s="5">
        <f t="shared" si="9"/>
        <v>1429464.2906171395</v>
      </c>
      <c r="O18" s="5">
        <f t="shared" si="10"/>
        <v>1045647.6555218213</v>
      </c>
      <c r="P18" s="4"/>
    </row>
    <row r="19" spans="6:16" x14ac:dyDescent="0.25">
      <c r="F19" s="9">
        <v>12</v>
      </c>
      <c r="G19" s="10">
        <f t="shared" si="0"/>
        <v>44926</v>
      </c>
      <c r="H19" s="5">
        <f t="shared" si="5"/>
        <v>50000</v>
      </c>
      <c r="I19" s="5">
        <f t="shared" si="1"/>
        <v>50000</v>
      </c>
      <c r="K19" s="18">
        <f t="shared" si="7"/>
        <v>57178.571624685574</v>
      </c>
      <c r="L19" s="18">
        <f t="shared" si="6"/>
        <v>15232.601652401208</v>
      </c>
      <c r="M19" s="19">
        <f t="shared" si="8"/>
        <v>34767.398347598792</v>
      </c>
      <c r="N19" s="5">
        <f t="shared" si="9"/>
        <v>1372285.718992454</v>
      </c>
      <c r="O19" s="5">
        <f t="shared" si="10"/>
        <v>1010880.2571742225</v>
      </c>
      <c r="P19" s="4"/>
    </row>
    <row r="20" spans="6:16" x14ac:dyDescent="0.25">
      <c r="F20" s="9">
        <v>13</v>
      </c>
      <c r="G20" s="10">
        <f t="shared" si="0"/>
        <v>44957</v>
      </c>
      <c r="H20" s="5">
        <f t="shared" si="5"/>
        <v>50000</v>
      </c>
      <c r="I20" s="5">
        <f t="shared" si="1"/>
        <v>50000</v>
      </c>
      <c r="K20" s="18">
        <f t="shared" si="7"/>
        <v>57178.571624685574</v>
      </c>
      <c r="L20" s="18">
        <f t="shared" si="6"/>
        <v>14726.123273453346</v>
      </c>
      <c r="M20" s="19">
        <f t="shared" si="8"/>
        <v>35273.876726546652</v>
      </c>
      <c r="N20" s="5">
        <f t="shared" si="9"/>
        <v>1315107.1473677685</v>
      </c>
      <c r="O20" s="5">
        <f t="shared" si="10"/>
        <v>975606.38044767582</v>
      </c>
      <c r="P20" s="4"/>
    </row>
    <row r="21" spans="6:16" x14ac:dyDescent="0.25">
      <c r="F21" s="9">
        <v>14</v>
      </c>
      <c r="G21" s="10">
        <f t="shared" si="0"/>
        <v>44985</v>
      </c>
      <c r="H21" s="5">
        <f t="shared" si="5"/>
        <v>50000</v>
      </c>
      <c r="I21" s="5">
        <f t="shared" si="1"/>
        <v>50000</v>
      </c>
      <c r="K21" s="18">
        <f t="shared" si="7"/>
        <v>57178.571624685574</v>
      </c>
      <c r="L21" s="18">
        <f t="shared" si="6"/>
        <v>12827.885356084129</v>
      </c>
      <c r="M21" s="19">
        <f t="shared" si="8"/>
        <v>37172.114643915869</v>
      </c>
      <c r="N21" s="5">
        <f t="shared" si="9"/>
        <v>1257928.5757430829</v>
      </c>
      <c r="O21" s="5">
        <f t="shared" si="10"/>
        <v>938434.26580375992</v>
      </c>
      <c r="P21" s="4"/>
    </row>
    <row r="22" spans="6:16" x14ac:dyDescent="0.25">
      <c r="F22" s="9">
        <v>15</v>
      </c>
      <c r="G22" s="10">
        <f t="shared" si="0"/>
        <v>45016</v>
      </c>
      <c r="H22" s="5">
        <f t="shared" si="5"/>
        <v>50000</v>
      </c>
      <c r="I22" s="5">
        <f t="shared" si="1"/>
        <v>50000</v>
      </c>
      <c r="K22" s="18">
        <f t="shared" si="7"/>
        <v>57178.571624685574</v>
      </c>
      <c r="L22" s="18">
        <f t="shared" si="6"/>
        <v>13670.757326777129</v>
      </c>
      <c r="M22" s="19">
        <f t="shared" si="8"/>
        <v>36329.242673222871</v>
      </c>
      <c r="N22" s="5">
        <f t="shared" si="9"/>
        <v>1200750.0041183974</v>
      </c>
      <c r="O22" s="5">
        <f t="shared" si="10"/>
        <v>902105.02313053701</v>
      </c>
      <c r="P22" s="4"/>
    </row>
    <row r="23" spans="6:16" x14ac:dyDescent="0.25">
      <c r="F23" s="9">
        <v>16</v>
      </c>
      <c r="G23" s="10">
        <f t="shared" si="0"/>
        <v>45046</v>
      </c>
      <c r="H23" s="5">
        <f t="shared" si="5"/>
        <v>50000</v>
      </c>
      <c r="I23" s="5">
        <f t="shared" si="1"/>
        <v>50000</v>
      </c>
      <c r="K23" s="18">
        <f t="shared" si="7"/>
        <v>57178.571624685574</v>
      </c>
      <c r="L23" s="18">
        <f t="shared" si="6"/>
        <v>12714.633092976917</v>
      </c>
      <c r="M23" s="19">
        <f t="shared" si="8"/>
        <v>37285.366907023083</v>
      </c>
      <c r="N23" s="5">
        <f t="shared" si="9"/>
        <v>1143571.4324937118</v>
      </c>
      <c r="O23" s="5">
        <f t="shared" si="10"/>
        <v>864819.65622351388</v>
      </c>
      <c r="P23" s="4"/>
    </row>
    <row r="24" spans="6:16" x14ac:dyDescent="0.25">
      <c r="F24" s="9">
        <v>17</v>
      </c>
      <c r="G24" s="10">
        <f t="shared" si="0"/>
        <v>45077</v>
      </c>
      <c r="H24" s="5">
        <f t="shared" si="5"/>
        <v>50000</v>
      </c>
      <c r="I24" s="5">
        <f t="shared" si="1"/>
        <v>50000</v>
      </c>
      <c r="K24" s="18">
        <f t="shared" si="7"/>
        <v>57178.571624685574</v>
      </c>
      <c r="L24" s="18">
        <f t="shared" si="6"/>
        <v>12598.367389677975</v>
      </c>
      <c r="M24" s="19">
        <f t="shared" si="8"/>
        <v>37401.632610322027</v>
      </c>
      <c r="N24" s="5">
        <f t="shared" si="9"/>
        <v>1086392.8608690263</v>
      </c>
      <c r="O24" s="5">
        <f t="shared" si="10"/>
        <v>827418.02361319191</v>
      </c>
      <c r="P24" s="4"/>
    </row>
    <row r="25" spans="6:16" x14ac:dyDescent="0.25">
      <c r="F25" s="9">
        <v>18</v>
      </c>
      <c r="G25" s="10">
        <f t="shared" si="0"/>
        <v>45107</v>
      </c>
      <c r="H25" s="5">
        <f t="shared" si="5"/>
        <v>50000</v>
      </c>
      <c r="I25" s="5">
        <f t="shared" si="1"/>
        <v>50000</v>
      </c>
      <c r="K25" s="18">
        <f t="shared" si="7"/>
        <v>57178.571624685574</v>
      </c>
      <c r="L25" s="18">
        <f t="shared" si="6"/>
        <v>11661.96431126127</v>
      </c>
      <c r="M25" s="19">
        <f t="shared" si="8"/>
        <v>38338.035688738732</v>
      </c>
      <c r="N25" s="5">
        <f t="shared" si="9"/>
        <v>1029214.2892443407</v>
      </c>
      <c r="O25" s="5">
        <f t="shared" si="10"/>
        <v>789079.98792445322</v>
      </c>
      <c r="P25" s="4"/>
    </row>
    <row r="26" spans="6:16" x14ac:dyDescent="0.25">
      <c r="F26" s="9">
        <v>19</v>
      </c>
      <c r="G26" s="10">
        <f t="shared" si="0"/>
        <v>45138</v>
      </c>
      <c r="H26" s="5">
        <f t="shared" si="5"/>
        <v>50000</v>
      </c>
      <c r="I26" s="5">
        <f t="shared" si="1"/>
        <v>50000</v>
      </c>
      <c r="K26" s="18">
        <f t="shared" si="7"/>
        <v>57178.571624685574</v>
      </c>
      <c r="L26" s="18">
        <f t="shared" si="6"/>
        <v>11495.020396652068</v>
      </c>
      <c r="M26" s="19">
        <f t="shared" si="8"/>
        <v>38504.979603347936</v>
      </c>
      <c r="N26" s="5">
        <f t="shared" si="9"/>
        <v>972035.71761965519</v>
      </c>
      <c r="O26" s="5">
        <f t="shared" si="10"/>
        <v>750575.00832110527</v>
      </c>
      <c r="P26" s="4"/>
    </row>
    <row r="27" spans="6:16" x14ac:dyDescent="0.25">
      <c r="F27" s="9">
        <v>20</v>
      </c>
      <c r="G27" s="10">
        <f t="shared" si="0"/>
        <v>45169</v>
      </c>
      <c r="H27" s="5">
        <f t="shared" si="5"/>
        <v>50000</v>
      </c>
      <c r="I27" s="5">
        <f t="shared" si="1"/>
        <v>50000</v>
      </c>
      <c r="K27" s="18">
        <f t="shared" si="7"/>
        <v>57178.571624685574</v>
      </c>
      <c r="L27" s="18">
        <f t="shared" si="6"/>
        <v>10934.094340122127</v>
      </c>
      <c r="M27" s="19">
        <f t="shared" si="8"/>
        <v>39065.90565987787</v>
      </c>
      <c r="N27" s="5">
        <f t="shared" si="9"/>
        <v>914857.14599496964</v>
      </c>
      <c r="O27" s="5">
        <f t="shared" si="10"/>
        <v>711509.10266122734</v>
      </c>
      <c r="P27" s="4"/>
    </row>
    <row r="28" spans="6:16" x14ac:dyDescent="0.25">
      <c r="F28" s="9">
        <v>21</v>
      </c>
      <c r="G28" s="10">
        <f t="shared" si="0"/>
        <v>45199</v>
      </c>
      <c r="H28" s="5">
        <f t="shared" si="5"/>
        <v>50000</v>
      </c>
      <c r="I28" s="5">
        <f t="shared" si="1"/>
        <v>50000</v>
      </c>
      <c r="K28" s="18">
        <f t="shared" si="7"/>
        <v>57178.571624685574</v>
      </c>
      <c r="L28" s="18">
        <f t="shared" si="6"/>
        <v>10028.297094784813</v>
      </c>
      <c r="M28" s="19">
        <f t="shared" si="8"/>
        <v>39971.702905215185</v>
      </c>
      <c r="N28" s="5">
        <f t="shared" si="9"/>
        <v>857678.5743702841</v>
      </c>
      <c r="O28" s="5">
        <f t="shared" si="10"/>
        <v>671537.39975601214</v>
      </c>
      <c r="P28" s="4"/>
    </row>
    <row r="29" spans="6:16" x14ac:dyDescent="0.25">
      <c r="F29" s="9">
        <v>22</v>
      </c>
      <c r="G29" s="10">
        <f t="shared" si="0"/>
        <v>45230</v>
      </c>
      <c r="H29" s="5">
        <f t="shared" si="5"/>
        <v>50000</v>
      </c>
      <c r="I29" s="5">
        <f t="shared" si="1"/>
        <v>50000</v>
      </c>
      <c r="K29" s="18">
        <f t="shared" si="7"/>
        <v>57178.571624685574</v>
      </c>
      <c r="L29" s="18">
        <f t="shared" si="6"/>
        <v>9782.704194050737</v>
      </c>
      <c r="M29" s="19">
        <f t="shared" si="8"/>
        <v>40217.295805949267</v>
      </c>
      <c r="N29" s="5">
        <f t="shared" si="9"/>
        <v>800500.00274559855</v>
      </c>
      <c r="O29" s="5">
        <f t="shared" si="10"/>
        <v>631320.10395006288</v>
      </c>
      <c r="P29" s="4"/>
    </row>
    <row r="30" spans="6:16" x14ac:dyDescent="0.25">
      <c r="F30" s="9">
        <v>23</v>
      </c>
      <c r="G30" s="10">
        <f t="shared" si="0"/>
        <v>45260</v>
      </c>
      <c r="H30" s="5">
        <f t="shared" si="5"/>
        <v>50000</v>
      </c>
      <c r="I30" s="5">
        <f t="shared" si="1"/>
        <v>50000</v>
      </c>
      <c r="K30" s="18">
        <f t="shared" si="7"/>
        <v>57178.571624685574</v>
      </c>
      <c r="L30" s="18">
        <f t="shared" si="6"/>
        <v>8898.0809109002912</v>
      </c>
      <c r="M30" s="19">
        <f t="shared" si="8"/>
        <v>41101.919089099712</v>
      </c>
      <c r="N30" s="5">
        <f t="shared" si="9"/>
        <v>743321.43112091301</v>
      </c>
      <c r="O30" s="5">
        <f t="shared" si="10"/>
        <v>590218.18486096314</v>
      </c>
      <c r="P30" s="4"/>
    </row>
    <row r="31" spans="6:16" x14ac:dyDescent="0.25">
      <c r="F31" s="9">
        <v>24</v>
      </c>
      <c r="G31" s="10">
        <f t="shared" si="0"/>
        <v>45291</v>
      </c>
      <c r="H31" s="5">
        <f t="shared" si="5"/>
        <v>50000</v>
      </c>
      <c r="I31" s="5">
        <f t="shared" si="1"/>
        <v>50000</v>
      </c>
      <c r="K31" s="18">
        <f t="shared" si="7"/>
        <v>57178.571624685574</v>
      </c>
      <c r="L31" s="18">
        <f t="shared" si="6"/>
        <v>8598.0764653497827</v>
      </c>
      <c r="M31" s="19">
        <f t="shared" si="8"/>
        <v>41401.923534650217</v>
      </c>
      <c r="N31" s="5">
        <f t="shared" si="9"/>
        <v>686142.85949622747</v>
      </c>
      <c r="O31" s="5">
        <f t="shared" si="10"/>
        <v>548816.2613263129</v>
      </c>
      <c r="P31" s="4"/>
    </row>
    <row r="32" spans="6:16" x14ac:dyDescent="0.25">
      <c r="F32" s="9">
        <v>25</v>
      </c>
      <c r="G32" s="10">
        <f t="shared" si="0"/>
        <v>45322</v>
      </c>
      <c r="H32" s="5">
        <f t="shared" si="5"/>
        <v>50000</v>
      </c>
      <c r="I32" s="5">
        <f t="shared" si="1"/>
        <v>50000</v>
      </c>
      <c r="K32" s="18">
        <f t="shared" si="7"/>
        <v>57178.571624685574</v>
      </c>
      <c r="L32" s="18">
        <f t="shared" si="6"/>
        <v>7994.9488195159893</v>
      </c>
      <c r="M32" s="19">
        <f t="shared" si="8"/>
        <v>42005.051180484013</v>
      </c>
      <c r="N32" s="5">
        <f t="shared" si="9"/>
        <v>628964.28787154192</v>
      </c>
      <c r="O32" s="5">
        <f t="shared" si="10"/>
        <v>506811.2101458289</v>
      </c>
      <c r="P32" s="4"/>
    </row>
    <row r="33" spans="6:16" x14ac:dyDescent="0.25">
      <c r="F33" s="9">
        <v>26</v>
      </c>
      <c r="G33" s="10">
        <f t="shared" si="0"/>
        <v>45351</v>
      </c>
      <c r="H33" s="5">
        <f t="shared" si="5"/>
        <v>50000</v>
      </c>
      <c r="I33" s="5">
        <f t="shared" si="1"/>
        <v>50000</v>
      </c>
      <c r="K33" s="18">
        <f t="shared" si="7"/>
        <v>57178.571624685574</v>
      </c>
      <c r="L33" s="18">
        <f t="shared" si="6"/>
        <v>6903.4812236823791</v>
      </c>
      <c r="M33" s="19">
        <f t="shared" si="8"/>
        <v>43096.518776317622</v>
      </c>
      <c r="N33" s="5">
        <f t="shared" si="9"/>
        <v>571785.71624685638</v>
      </c>
      <c r="O33" s="5">
        <f t="shared" si="10"/>
        <v>463714.6913695113</v>
      </c>
      <c r="P33" s="4"/>
    </row>
    <row r="34" spans="6:16" x14ac:dyDescent="0.25">
      <c r="F34" s="9">
        <v>27</v>
      </c>
      <c r="G34" s="10">
        <f t="shared" si="0"/>
        <v>45382</v>
      </c>
      <c r="H34" s="5">
        <f t="shared" si="5"/>
        <v>50000</v>
      </c>
      <c r="I34" s="5">
        <f t="shared" si="1"/>
        <v>50000</v>
      </c>
      <c r="K34" s="18">
        <f t="shared" si="7"/>
        <v>57178.571624685574</v>
      </c>
      <c r="L34" s="18">
        <f t="shared" si="6"/>
        <v>6755.2211652718861</v>
      </c>
      <c r="M34" s="19">
        <f t="shared" si="8"/>
        <v>43244.778834728117</v>
      </c>
      <c r="N34" s="5">
        <f t="shared" si="9"/>
        <v>514607.14462217083</v>
      </c>
      <c r="O34" s="5">
        <f t="shared" si="10"/>
        <v>420469.91253478319</v>
      </c>
      <c r="P34" s="4"/>
    </row>
    <row r="35" spans="6:16" x14ac:dyDescent="0.25">
      <c r="F35" s="9">
        <v>28</v>
      </c>
      <c r="G35" s="10">
        <f t="shared" si="0"/>
        <v>45412</v>
      </c>
      <c r="H35" s="5">
        <f t="shared" si="5"/>
        <v>50000</v>
      </c>
      <c r="I35" s="5">
        <f t="shared" si="1"/>
        <v>50000</v>
      </c>
      <c r="K35" s="18">
        <f t="shared" si="7"/>
        <v>57178.571624685574</v>
      </c>
      <c r="L35" s="18">
        <f t="shared" si="6"/>
        <v>5926.2730252442752</v>
      </c>
      <c r="M35" s="19">
        <f t="shared" si="8"/>
        <v>44073.726974755722</v>
      </c>
      <c r="N35" s="5">
        <f t="shared" si="9"/>
        <v>457428.57299748529</v>
      </c>
      <c r="O35" s="5">
        <f t="shared" si="10"/>
        <v>376396.18556002749</v>
      </c>
      <c r="P35" s="4"/>
    </row>
    <row r="36" spans="6:16" x14ac:dyDescent="0.25">
      <c r="F36" s="9">
        <v>29</v>
      </c>
      <c r="G36" s="10">
        <f t="shared" si="0"/>
        <v>45443</v>
      </c>
      <c r="H36" s="5">
        <f t="shared" si="5"/>
        <v>50000</v>
      </c>
      <c r="I36" s="5">
        <f t="shared" si="1"/>
        <v>50000</v>
      </c>
      <c r="K36" s="18">
        <f t="shared" si="7"/>
        <v>57178.571624685574</v>
      </c>
      <c r="L36" s="18">
        <f t="shared" si="6"/>
        <v>5483.1980235808369</v>
      </c>
      <c r="M36" s="19">
        <f t="shared" si="8"/>
        <v>44516.801976419163</v>
      </c>
      <c r="N36" s="5">
        <f t="shared" si="9"/>
        <v>400250.00137279974</v>
      </c>
      <c r="O36" s="5">
        <f t="shared" si="10"/>
        <v>331879.38358360832</v>
      </c>
      <c r="P36" s="4"/>
    </row>
    <row r="37" spans="6:16" x14ac:dyDescent="0.25">
      <c r="F37" s="9">
        <v>30</v>
      </c>
      <c r="G37" s="10">
        <f t="shared" si="0"/>
        <v>45473</v>
      </c>
      <c r="H37" s="5">
        <f t="shared" si="5"/>
        <v>50000</v>
      </c>
      <c r="I37" s="5">
        <f t="shared" si="1"/>
        <v>50000</v>
      </c>
      <c r="K37" s="18">
        <f t="shared" si="7"/>
        <v>57178.571624685574</v>
      </c>
      <c r="L37" s="18">
        <f t="shared" si="6"/>
        <v>4677.6422757800356</v>
      </c>
      <c r="M37" s="19">
        <f t="shared" si="8"/>
        <v>45322.357724219968</v>
      </c>
      <c r="N37" s="5">
        <f t="shared" si="9"/>
        <v>343071.4297481142</v>
      </c>
      <c r="O37" s="5">
        <f t="shared" si="10"/>
        <v>286557.02585938835</v>
      </c>
      <c r="P37" s="4"/>
    </row>
    <row r="38" spans="6:16" x14ac:dyDescent="0.25">
      <c r="F38" s="9">
        <v>31</v>
      </c>
      <c r="G38" s="10">
        <f t="shared" si="0"/>
        <v>45504</v>
      </c>
      <c r="H38" s="5">
        <f t="shared" si="5"/>
        <v>50000</v>
      </c>
      <c r="I38" s="5">
        <f>H38</f>
        <v>50000</v>
      </c>
      <c r="K38" s="18">
        <f t="shared" si="7"/>
        <v>57178.571624685574</v>
      </c>
      <c r="L38" s="18">
        <f t="shared" si="6"/>
        <v>4174.4549443230708</v>
      </c>
      <c r="M38" s="19">
        <f t="shared" si="8"/>
        <v>45825.545055676928</v>
      </c>
      <c r="N38" s="5">
        <f t="shared" si="9"/>
        <v>285892.85812342865</v>
      </c>
      <c r="O38" s="5">
        <f t="shared" si="10"/>
        <v>240731.48080371143</v>
      </c>
      <c r="P38" s="4"/>
    </row>
    <row r="39" spans="6:16" x14ac:dyDescent="0.25">
      <c r="F39" s="9">
        <v>32</v>
      </c>
      <c r="G39" s="10">
        <f t="shared" si="0"/>
        <v>45535</v>
      </c>
      <c r="H39" s="5">
        <f t="shared" si="5"/>
        <v>50000</v>
      </c>
      <c r="I39" s="5">
        <f t="shared" si="1"/>
        <v>50000</v>
      </c>
      <c r="K39" s="18">
        <f t="shared" si="7"/>
        <v>57178.571624685574</v>
      </c>
      <c r="L39" s="18">
        <f t="shared" si="6"/>
        <v>3506.8856444244948</v>
      </c>
      <c r="M39" s="19">
        <f t="shared" si="8"/>
        <v>46493.114355575504</v>
      </c>
      <c r="N39" s="5">
        <f t="shared" si="9"/>
        <v>228714.28649874308</v>
      </c>
      <c r="O39" s="5">
        <f t="shared" si="10"/>
        <v>194238.36644813593</v>
      </c>
      <c r="P39" s="4"/>
    </row>
    <row r="40" spans="6:16" x14ac:dyDescent="0.25">
      <c r="F40" s="9">
        <v>33</v>
      </c>
      <c r="G40" s="10">
        <f t="shared" si="0"/>
        <v>45565</v>
      </c>
      <c r="H40" s="5">
        <f t="shared" si="5"/>
        <v>50000</v>
      </c>
      <c r="I40" s="5">
        <f t="shared" si="1"/>
        <v>50000</v>
      </c>
      <c r="K40" s="18">
        <f t="shared" si="7"/>
        <v>57178.571624685574</v>
      </c>
      <c r="L40" s="18">
        <f t="shared" si="6"/>
        <v>2737.6741051688819</v>
      </c>
      <c r="M40" s="19">
        <f t="shared" si="8"/>
        <v>47262.32589483112</v>
      </c>
      <c r="N40" s="5">
        <f t="shared" si="9"/>
        <v>171535.71487405751</v>
      </c>
      <c r="O40" s="5">
        <f t="shared" si="10"/>
        <v>146976.0405533048</v>
      </c>
      <c r="P40" s="4"/>
    </row>
    <row r="41" spans="6:16" x14ac:dyDescent="0.25">
      <c r="F41" s="9">
        <v>34</v>
      </c>
      <c r="G41" s="10">
        <f t="shared" si="0"/>
        <v>45596</v>
      </c>
      <c r="H41" s="5">
        <f t="shared" si="5"/>
        <v>50000</v>
      </c>
      <c r="I41" s="5">
        <f t="shared" si="1"/>
        <v>50000</v>
      </c>
      <c r="K41" s="18">
        <f t="shared" si="7"/>
        <v>57178.571624685574</v>
      </c>
      <c r="L41" s="18">
        <f t="shared" si="6"/>
        <v>2141.0916634995851</v>
      </c>
      <c r="M41" s="19">
        <f t="shared" si="8"/>
        <v>47858.908336500412</v>
      </c>
      <c r="N41" s="5">
        <f t="shared" si="9"/>
        <v>114357.14324937193</v>
      </c>
      <c r="O41" s="5">
        <f t="shared" si="10"/>
        <v>99117.132216804399</v>
      </c>
      <c r="P41" s="4"/>
    </row>
    <row r="42" spans="6:16" x14ac:dyDescent="0.25">
      <c r="F42" s="9">
        <v>35</v>
      </c>
      <c r="G42" s="10">
        <f t="shared" si="0"/>
        <v>45626</v>
      </c>
      <c r="H42" s="5">
        <f t="shared" si="5"/>
        <v>50000</v>
      </c>
      <c r="I42" s="5">
        <f t="shared" si="1"/>
        <v>50000</v>
      </c>
      <c r="K42" s="18">
        <f t="shared" si="7"/>
        <v>57178.571624685574</v>
      </c>
      <c r="L42" s="18">
        <f t="shared" si="6"/>
        <v>1396.9969538484545</v>
      </c>
      <c r="M42" s="19">
        <f t="shared" si="8"/>
        <v>48603.003046151549</v>
      </c>
      <c r="N42" s="5">
        <f>N41-K42</f>
        <v>57178.571624686359</v>
      </c>
      <c r="O42" s="5">
        <f t="shared" si="10"/>
        <v>50514.12917065285</v>
      </c>
      <c r="P42" s="4"/>
    </row>
    <row r="43" spans="6:16" x14ac:dyDescent="0.25">
      <c r="F43" s="9">
        <v>36</v>
      </c>
      <c r="G43" s="10">
        <f t="shared" si="0"/>
        <v>45657</v>
      </c>
      <c r="H43" s="5">
        <v>51250</v>
      </c>
      <c r="I43" s="5">
        <f t="shared" si="1"/>
        <v>51250</v>
      </c>
      <c r="K43" s="18">
        <f t="shared" si="7"/>
        <v>57178.571624685574</v>
      </c>
      <c r="L43" s="18">
        <f>O42*((1+$D$8)^((G43-G42)/365)-1)</f>
        <v>735.87082934786633</v>
      </c>
      <c r="M43" s="19">
        <f t="shared" si="8"/>
        <v>50514.129170652137</v>
      </c>
      <c r="N43" s="5">
        <v>0</v>
      </c>
      <c r="O43" s="5">
        <v>0</v>
      </c>
      <c r="P43" s="4"/>
    </row>
    <row r="44" spans="6:16" x14ac:dyDescent="0.25">
      <c r="F44" s="9"/>
      <c r="G44" s="13" t="s">
        <v>1</v>
      </c>
      <c r="H44" s="12">
        <f>SUM(H6:H43)</f>
        <v>2401250</v>
      </c>
      <c r="I44" s="12">
        <f>SUM(I7:I43)</f>
        <v>1801250</v>
      </c>
      <c r="K44" s="12">
        <f>SUM(K8:K43)</f>
        <v>2001250.0068639943</v>
      </c>
      <c r="L44" s="12">
        <f>SUM(L8:L43)</f>
        <v>399999.99313600594</v>
      </c>
      <c r="M44" s="11"/>
      <c r="N44" s="5"/>
      <c r="O44" s="5"/>
    </row>
  </sheetData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87EB9-BBDB-48B7-92BE-CF1BA2B71707}">
  <sheetPr>
    <pageSetUpPr fitToPage="1"/>
  </sheetPr>
  <dimension ref="A2:H74"/>
  <sheetViews>
    <sheetView showGridLines="0" tabSelected="1" topLeftCell="A28" zoomScale="85" zoomScaleNormal="85" workbookViewId="0">
      <selection activeCell="A34" sqref="A34"/>
    </sheetView>
  </sheetViews>
  <sheetFormatPr defaultRowHeight="15" x14ac:dyDescent="0.25"/>
  <cols>
    <col min="1" max="1" width="4.28515625" style="15" customWidth="1"/>
    <col min="2" max="2" width="10.28515625" style="15" bestFit="1" customWidth="1"/>
    <col min="3" max="3" width="10.7109375" style="15" bestFit="1" customWidth="1"/>
    <col min="4" max="4" width="13.85546875" style="15" customWidth="1"/>
    <col min="5" max="6" width="10.28515625" style="15" bestFit="1" customWidth="1"/>
    <col min="7" max="7" width="16.85546875" style="15" customWidth="1"/>
    <col min="8" max="8" width="108.28515625" style="20" bestFit="1" customWidth="1"/>
    <col min="9" max="16384" width="9.140625" style="15"/>
  </cols>
  <sheetData>
    <row r="2" spans="2:8" x14ac:dyDescent="0.25">
      <c r="B2" s="60" t="s">
        <v>86</v>
      </c>
    </row>
    <row r="3" spans="2:8" ht="15.75" thickBot="1" x14ac:dyDescent="0.3"/>
    <row r="4" spans="2:8" ht="79.5" customHeight="1" x14ac:dyDescent="0.25">
      <c r="B4" s="107" t="s">
        <v>19</v>
      </c>
      <c r="C4" s="108"/>
      <c r="D4" s="109"/>
      <c r="E4" s="110" t="s">
        <v>85</v>
      </c>
      <c r="F4" s="111"/>
      <c r="G4" s="112"/>
      <c r="H4" s="113" t="s">
        <v>52</v>
      </c>
    </row>
    <row r="5" spans="2:8" x14ac:dyDescent="0.25">
      <c r="B5" s="114" t="s">
        <v>20</v>
      </c>
      <c r="C5" s="37" t="s">
        <v>21</v>
      </c>
      <c r="D5" s="38" t="s">
        <v>41</v>
      </c>
      <c r="E5" s="36" t="s">
        <v>20</v>
      </c>
      <c r="F5" s="37" t="s">
        <v>21</v>
      </c>
      <c r="G5" s="39" t="s">
        <v>22</v>
      </c>
      <c r="H5" s="115"/>
    </row>
    <row r="6" spans="2:8" x14ac:dyDescent="0.25">
      <c r="B6" s="116" t="s">
        <v>83</v>
      </c>
      <c r="C6" s="98"/>
      <c r="D6" s="98"/>
      <c r="E6" s="98"/>
      <c r="F6" s="98"/>
      <c r="G6" s="98"/>
      <c r="H6" s="117"/>
    </row>
    <row r="7" spans="2:8" x14ac:dyDescent="0.25">
      <c r="B7" s="118">
        <v>60</v>
      </c>
      <c r="C7" s="37">
        <v>51</v>
      </c>
      <c r="D7" s="45">
        <f>Бух.отчетность!H6*1.2</f>
        <v>720000</v>
      </c>
      <c r="E7" s="36" t="s">
        <v>38</v>
      </c>
      <c r="F7" s="37">
        <v>51</v>
      </c>
      <c r="G7" s="41">
        <f>Бух.отчетность!H6*1.2</f>
        <v>720000</v>
      </c>
      <c r="H7" s="119" t="s">
        <v>23</v>
      </c>
    </row>
    <row r="8" spans="2:8" x14ac:dyDescent="0.25">
      <c r="B8" s="120" t="s">
        <v>100</v>
      </c>
      <c r="C8" s="103"/>
      <c r="D8" s="103"/>
      <c r="E8" s="103"/>
      <c r="F8" s="103"/>
      <c r="G8" s="103"/>
      <c r="H8" s="121"/>
    </row>
    <row r="9" spans="2:8" ht="112.5" customHeight="1" x14ac:dyDescent="0.25">
      <c r="B9" s="122" t="s">
        <v>33</v>
      </c>
      <c r="C9" s="42" t="s">
        <v>39</v>
      </c>
      <c r="D9" s="45">
        <f>Бух.отчетность!D4-Бух.отчетность!D4*Бух.отчетность!D5+Бух.отчетность!D15</f>
        <v>1401250</v>
      </c>
      <c r="E9" s="43" t="s">
        <v>36</v>
      </c>
      <c r="F9" s="42" t="s">
        <v>36</v>
      </c>
      <c r="G9" s="75" t="s">
        <v>36</v>
      </c>
      <c r="H9" s="119" t="s">
        <v>96</v>
      </c>
    </row>
    <row r="10" spans="2:8" ht="60" x14ac:dyDescent="0.25">
      <c r="B10" s="122" t="s">
        <v>33</v>
      </c>
      <c r="C10" s="44" t="s">
        <v>34</v>
      </c>
      <c r="D10" s="101">
        <f>Бух.отчетность!D4*Бух.отчетность!D5</f>
        <v>600000</v>
      </c>
      <c r="E10" s="43" t="s">
        <v>36</v>
      </c>
      <c r="F10" s="42" t="s">
        <v>36</v>
      </c>
      <c r="G10" s="102" t="s">
        <v>36</v>
      </c>
      <c r="H10" s="119" t="s">
        <v>102</v>
      </c>
    </row>
    <row r="11" spans="2:8" ht="74.25" x14ac:dyDescent="0.25">
      <c r="B11" s="122" t="s">
        <v>33</v>
      </c>
      <c r="C11" s="42" t="s">
        <v>35</v>
      </c>
      <c r="D11" s="45">
        <v>0</v>
      </c>
      <c r="E11" s="43" t="s">
        <v>36</v>
      </c>
      <c r="F11" s="42" t="s">
        <v>36</v>
      </c>
      <c r="G11" s="75" t="s">
        <v>36</v>
      </c>
      <c r="H11" s="119" t="s">
        <v>53</v>
      </c>
    </row>
    <row r="12" spans="2:8" ht="66.75" customHeight="1" x14ac:dyDescent="0.25">
      <c r="B12" s="122" t="s">
        <v>43</v>
      </c>
      <c r="C12" s="44" t="s">
        <v>34</v>
      </c>
      <c r="D12" s="101">
        <f>D10/100*20</f>
        <v>120000</v>
      </c>
      <c r="E12" s="43" t="s">
        <v>36</v>
      </c>
      <c r="F12" s="42" t="s">
        <v>36</v>
      </c>
      <c r="G12" s="102" t="s">
        <v>36</v>
      </c>
      <c r="H12" s="119" t="s">
        <v>103</v>
      </c>
    </row>
    <row r="13" spans="2:8" ht="60" x14ac:dyDescent="0.25">
      <c r="B13" s="122" t="s">
        <v>37</v>
      </c>
      <c r="C13" s="42" t="s">
        <v>33</v>
      </c>
      <c r="D13" s="45">
        <f>D10+D9+D11</f>
        <v>2001250</v>
      </c>
      <c r="E13" s="43" t="s">
        <v>36</v>
      </c>
      <c r="F13" s="42" t="s">
        <v>36</v>
      </c>
      <c r="G13" s="75" t="s">
        <v>36</v>
      </c>
      <c r="H13" s="119" t="s">
        <v>88</v>
      </c>
    </row>
    <row r="14" spans="2:8" ht="90.75" thickBot="1" x14ac:dyDescent="0.3">
      <c r="B14" s="123" t="s">
        <v>36</v>
      </c>
      <c r="C14" s="124" t="s">
        <v>36</v>
      </c>
      <c r="D14" s="125"/>
      <c r="E14" s="126" t="s">
        <v>36</v>
      </c>
      <c r="F14" s="127" t="s">
        <v>36</v>
      </c>
      <c r="G14" s="128" t="s">
        <v>36</v>
      </c>
      <c r="H14" s="129" t="s">
        <v>59</v>
      </c>
    </row>
    <row r="15" spans="2:8" ht="15.75" thickBot="1" x14ac:dyDescent="0.3">
      <c r="B15" s="130" t="s">
        <v>45</v>
      </c>
      <c r="C15" s="131"/>
      <c r="D15" s="131"/>
      <c r="E15" s="131"/>
      <c r="F15" s="131"/>
      <c r="G15" s="131"/>
      <c r="H15" s="132"/>
    </row>
    <row r="16" spans="2:8" ht="60" x14ac:dyDescent="0.25">
      <c r="B16" s="133" t="s">
        <v>39</v>
      </c>
      <c r="C16" s="86">
        <v>60</v>
      </c>
      <c r="D16" s="54">
        <f>Бух.отчетность!H8</f>
        <v>50000</v>
      </c>
      <c r="E16" s="85">
        <v>44</v>
      </c>
      <c r="F16" s="86" t="s">
        <v>38</v>
      </c>
      <c r="G16" s="55">
        <f>Бух.отчетность!H8</f>
        <v>50000</v>
      </c>
      <c r="H16" s="134" t="s">
        <v>54</v>
      </c>
    </row>
    <row r="17" spans="2:8" ht="60" x14ac:dyDescent="0.25">
      <c r="B17" s="114">
        <v>19</v>
      </c>
      <c r="C17" s="37">
        <v>60</v>
      </c>
      <c r="D17" s="40">
        <f>D16/100*20</f>
        <v>10000</v>
      </c>
      <c r="E17" s="36">
        <v>19</v>
      </c>
      <c r="F17" s="37" t="s">
        <v>38</v>
      </c>
      <c r="G17" s="41">
        <f>G16/100*20</f>
        <v>10000</v>
      </c>
      <c r="H17" s="135" t="s">
        <v>55</v>
      </c>
    </row>
    <row r="18" spans="2:8" ht="89.25" x14ac:dyDescent="0.25">
      <c r="B18" s="114">
        <v>68</v>
      </c>
      <c r="C18" s="37">
        <v>19</v>
      </c>
      <c r="D18" s="40">
        <f>D17</f>
        <v>10000</v>
      </c>
      <c r="E18" s="36">
        <v>68</v>
      </c>
      <c r="F18" s="37">
        <v>19</v>
      </c>
      <c r="G18" s="41">
        <f>G17</f>
        <v>10000</v>
      </c>
      <c r="H18" s="135" t="s">
        <v>63</v>
      </c>
    </row>
    <row r="19" spans="2:8" ht="60" x14ac:dyDescent="0.25">
      <c r="B19" s="114">
        <v>60</v>
      </c>
      <c r="C19" s="37">
        <v>51</v>
      </c>
      <c r="D19" s="40">
        <f>D16+D17</f>
        <v>60000</v>
      </c>
      <c r="E19" s="36" t="s">
        <v>38</v>
      </c>
      <c r="F19" s="37">
        <v>51</v>
      </c>
      <c r="G19" s="41">
        <f>G16+G17</f>
        <v>60000</v>
      </c>
      <c r="H19" s="135" t="s">
        <v>57</v>
      </c>
    </row>
    <row r="20" spans="2:8" ht="74.25" x14ac:dyDescent="0.25">
      <c r="B20" s="114">
        <v>20</v>
      </c>
      <c r="C20" s="37" t="s">
        <v>40</v>
      </c>
      <c r="D20" s="40">
        <f>Бух.отчетность!L8</f>
        <v>19749.78439536857</v>
      </c>
      <c r="E20" s="36" t="s">
        <v>36</v>
      </c>
      <c r="F20" s="37" t="s">
        <v>36</v>
      </c>
      <c r="G20" s="41" t="s">
        <v>36</v>
      </c>
      <c r="H20" s="135" t="s">
        <v>89</v>
      </c>
    </row>
    <row r="21" spans="2:8" ht="60.75" thickBot="1" x14ac:dyDescent="0.3">
      <c r="B21" s="136" t="s">
        <v>42</v>
      </c>
      <c r="C21" s="48">
        <v>20</v>
      </c>
      <c r="D21" s="46">
        <f>D20</f>
        <v>19749.78439536857</v>
      </c>
      <c r="E21" s="47" t="s">
        <v>42</v>
      </c>
      <c r="F21" s="48">
        <v>20</v>
      </c>
      <c r="G21" s="56">
        <f>G16</f>
        <v>50000</v>
      </c>
      <c r="H21" s="137" t="s">
        <v>58</v>
      </c>
    </row>
    <row r="22" spans="2:8" ht="33" customHeight="1" thickBot="1" x14ac:dyDescent="0.3">
      <c r="B22" s="138" t="s">
        <v>101</v>
      </c>
      <c r="C22" s="100"/>
      <c r="D22" s="100"/>
      <c r="E22" s="100"/>
      <c r="F22" s="100"/>
      <c r="G22" s="100"/>
      <c r="H22" s="139"/>
    </row>
    <row r="23" spans="2:8" ht="60" x14ac:dyDescent="0.25">
      <c r="B23" s="122" t="s">
        <v>36</v>
      </c>
      <c r="C23" s="44" t="s">
        <v>36</v>
      </c>
      <c r="D23" s="101" t="s">
        <v>36</v>
      </c>
      <c r="E23" s="43" t="s">
        <v>87</v>
      </c>
      <c r="F23" s="42" t="s">
        <v>38</v>
      </c>
      <c r="G23" s="102">
        <v>600000</v>
      </c>
      <c r="H23" s="119" t="s">
        <v>98</v>
      </c>
    </row>
    <row r="24" spans="2:8" ht="66.75" customHeight="1" x14ac:dyDescent="0.25">
      <c r="B24" s="122" t="s">
        <v>36</v>
      </c>
      <c r="C24" s="44" t="s">
        <v>36</v>
      </c>
      <c r="D24" s="101" t="s">
        <v>36</v>
      </c>
      <c r="E24" s="43" t="s">
        <v>43</v>
      </c>
      <c r="F24" s="42" t="s">
        <v>38</v>
      </c>
      <c r="G24" s="102">
        <v>120000</v>
      </c>
      <c r="H24" s="119" t="s">
        <v>99</v>
      </c>
    </row>
    <row r="25" spans="2:8" ht="60" thickBot="1" x14ac:dyDescent="0.3">
      <c r="B25" s="123" t="s">
        <v>51</v>
      </c>
      <c r="C25" s="124" t="s">
        <v>43</v>
      </c>
      <c r="D25" s="140">
        <f>D12</f>
        <v>120000</v>
      </c>
      <c r="E25" s="141" t="s">
        <v>51</v>
      </c>
      <c r="F25" s="124" t="s">
        <v>43</v>
      </c>
      <c r="G25" s="142">
        <v>120000</v>
      </c>
      <c r="H25" s="129" t="s">
        <v>97</v>
      </c>
    </row>
    <row r="26" spans="2:8" ht="15.75" thickBot="1" x14ac:dyDescent="0.3">
      <c r="B26" s="104" t="s">
        <v>46</v>
      </c>
      <c r="C26" s="105"/>
      <c r="D26" s="105"/>
      <c r="E26" s="105"/>
      <c r="F26" s="105"/>
      <c r="G26" s="105"/>
      <c r="H26" s="106"/>
    </row>
    <row r="27" spans="2:8" ht="60" x14ac:dyDescent="0.25">
      <c r="B27" s="78" t="s">
        <v>39</v>
      </c>
      <c r="C27" s="79">
        <v>60</v>
      </c>
      <c r="D27" s="54">
        <f>Бух.отчетность!H9</f>
        <v>50000</v>
      </c>
      <c r="E27" s="78">
        <v>44</v>
      </c>
      <c r="F27" s="79" t="s">
        <v>38</v>
      </c>
      <c r="G27" s="55">
        <f>Бух.отчетность!I15</f>
        <v>50000</v>
      </c>
      <c r="H27" s="51" t="s">
        <v>54</v>
      </c>
    </row>
    <row r="28" spans="2:8" ht="60" x14ac:dyDescent="0.25">
      <c r="B28" s="36">
        <v>19</v>
      </c>
      <c r="C28" s="37">
        <v>60</v>
      </c>
      <c r="D28" s="40">
        <f>D27/100*20</f>
        <v>10000</v>
      </c>
      <c r="E28" s="36">
        <v>19</v>
      </c>
      <c r="F28" s="37" t="s">
        <v>38</v>
      </c>
      <c r="G28" s="41">
        <f>G27/100*20</f>
        <v>10000</v>
      </c>
      <c r="H28" s="52" t="s">
        <v>55</v>
      </c>
    </row>
    <row r="29" spans="2:8" ht="89.25" x14ac:dyDescent="0.25">
      <c r="B29" s="36">
        <v>68</v>
      </c>
      <c r="C29" s="37">
        <v>19</v>
      </c>
      <c r="D29" s="40">
        <f>D28</f>
        <v>10000</v>
      </c>
      <c r="E29" s="36">
        <v>68</v>
      </c>
      <c r="F29" s="37">
        <v>19</v>
      </c>
      <c r="G29" s="41">
        <f>G28</f>
        <v>10000</v>
      </c>
      <c r="H29" s="52" t="s">
        <v>63</v>
      </c>
    </row>
    <row r="30" spans="2:8" ht="60" x14ac:dyDescent="0.25">
      <c r="B30" s="36">
        <v>60</v>
      </c>
      <c r="C30" s="37">
        <v>51</v>
      </c>
      <c r="D30" s="40">
        <f>D27+D28</f>
        <v>60000</v>
      </c>
      <c r="E30" s="36" t="s">
        <v>38</v>
      </c>
      <c r="F30" s="37">
        <v>51</v>
      </c>
      <c r="G30" s="41">
        <f>G27+G28</f>
        <v>60000</v>
      </c>
      <c r="H30" s="52" t="s">
        <v>57</v>
      </c>
    </row>
    <row r="31" spans="2:8" ht="75" x14ac:dyDescent="0.25">
      <c r="B31" s="36">
        <v>20</v>
      </c>
      <c r="C31" s="37" t="s">
        <v>40</v>
      </c>
      <c r="D31" s="40">
        <f>Бух.отчетность!L9</f>
        <v>18026.766222480259</v>
      </c>
      <c r="E31" s="76" t="s">
        <v>36</v>
      </c>
      <c r="F31" s="77" t="s">
        <v>36</v>
      </c>
      <c r="G31" s="75" t="s">
        <v>36</v>
      </c>
      <c r="H31" s="52" t="s">
        <v>91</v>
      </c>
    </row>
    <row r="32" spans="2:8" ht="60" x14ac:dyDescent="0.25">
      <c r="B32" s="36">
        <v>20</v>
      </c>
      <c r="C32" s="37" t="s">
        <v>47</v>
      </c>
      <c r="D32" s="45">
        <f>Бух.отчетность!K9</f>
        <v>57178.571624685574</v>
      </c>
      <c r="E32" s="76" t="s">
        <v>36</v>
      </c>
      <c r="F32" s="77" t="s">
        <v>36</v>
      </c>
      <c r="G32" s="75" t="s">
        <v>36</v>
      </c>
      <c r="H32" s="59" t="s">
        <v>90</v>
      </c>
    </row>
    <row r="33" spans="1:8" ht="60.75" thickBot="1" x14ac:dyDescent="0.3">
      <c r="B33" s="47" t="s">
        <v>42</v>
      </c>
      <c r="C33" s="48">
        <v>20</v>
      </c>
      <c r="D33" s="46">
        <f>D32+D31</f>
        <v>75205.337847165836</v>
      </c>
      <c r="E33" s="47" t="s">
        <v>42</v>
      </c>
      <c r="F33" s="48">
        <v>20</v>
      </c>
      <c r="G33" s="56">
        <f>G27</f>
        <v>50000</v>
      </c>
      <c r="H33" s="53" t="s">
        <v>58</v>
      </c>
    </row>
    <row r="34" spans="1:8" ht="15.75" thickBot="1" x14ac:dyDescent="0.3">
      <c r="B34" s="97" t="s">
        <v>84</v>
      </c>
      <c r="C34" s="98"/>
      <c r="D34" s="98"/>
      <c r="E34" s="98"/>
      <c r="F34" s="98"/>
      <c r="G34" s="98"/>
      <c r="H34" s="99"/>
    </row>
    <row r="35" spans="1:8" ht="60" x14ac:dyDescent="0.25">
      <c r="B35" s="78">
        <v>60</v>
      </c>
      <c r="C35" s="79">
        <v>51</v>
      </c>
      <c r="D35" s="57">
        <f>Бух.отчетность!D15*1.2</f>
        <v>1500</v>
      </c>
      <c r="E35" s="78">
        <v>60</v>
      </c>
      <c r="F35" s="79">
        <v>51</v>
      </c>
      <c r="G35" s="55">
        <v>1500</v>
      </c>
      <c r="H35" s="51" t="s">
        <v>62</v>
      </c>
    </row>
    <row r="36" spans="1:8" ht="60" x14ac:dyDescent="0.25">
      <c r="B36" s="36" t="s">
        <v>39</v>
      </c>
      <c r="C36" s="37">
        <v>60</v>
      </c>
      <c r="D36" s="45">
        <f>D35/1.2</f>
        <v>1250</v>
      </c>
      <c r="E36" s="36">
        <v>10</v>
      </c>
      <c r="F36" s="37">
        <v>60</v>
      </c>
      <c r="G36" s="41">
        <v>1250</v>
      </c>
      <c r="H36" s="52" t="s">
        <v>60</v>
      </c>
    </row>
    <row r="37" spans="1:8" ht="60" x14ac:dyDescent="0.25">
      <c r="B37" s="36">
        <v>19</v>
      </c>
      <c r="C37" s="37">
        <v>60</v>
      </c>
      <c r="D37" s="45">
        <f>D35*20/120</f>
        <v>250</v>
      </c>
      <c r="E37" s="36">
        <v>19</v>
      </c>
      <c r="F37" s="37">
        <v>60</v>
      </c>
      <c r="G37" s="41">
        <v>250</v>
      </c>
      <c r="H37" s="52" t="s">
        <v>61</v>
      </c>
    </row>
    <row r="38" spans="1:8" ht="89.25" x14ac:dyDescent="0.25">
      <c r="B38" s="36">
        <v>68</v>
      </c>
      <c r="C38" s="37">
        <v>19</v>
      </c>
      <c r="D38" s="45">
        <f>D37</f>
        <v>250</v>
      </c>
      <c r="E38" s="36">
        <v>68</v>
      </c>
      <c r="F38" s="37">
        <v>19</v>
      </c>
      <c r="G38" s="41">
        <f>G37</f>
        <v>250</v>
      </c>
      <c r="H38" s="52" t="s">
        <v>56</v>
      </c>
    </row>
    <row r="39" spans="1:8" ht="60" x14ac:dyDescent="0.25">
      <c r="B39" s="36" t="s">
        <v>48</v>
      </c>
      <c r="C39" s="37" t="s">
        <v>37</v>
      </c>
      <c r="D39" s="45">
        <f>D13</f>
        <v>2001250</v>
      </c>
      <c r="E39" s="76" t="s">
        <v>36</v>
      </c>
      <c r="F39" s="77" t="s">
        <v>36</v>
      </c>
      <c r="G39" s="75" t="str">
        <f>G13</f>
        <v>-</v>
      </c>
      <c r="H39" s="52" t="s">
        <v>92</v>
      </c>
    </row>
    <row r="40" spans="1:8" ht="60.75" thickBot="1" x14ac:dyDescent="0.3">
      <c r="B40" s="47" t="s">
        <v>47</v>
      </c>
      <c r="C40" s="48" t="s">
        <v>49</v>
      </c>
      <c r="D40" s="50">
        <f>D32*35+0.01</f>
        <v>2001250.016863995</v>
      </c>
      <c r="E40" s="83" t="s">
        <v>36</v>
      </c>
      <c r="F40" s="84" t="s">
        <v>36</v>
      </c>
      <c r="G40" s="49" t="s">
        <v>36</v>
      </c>
      <c r="H40" s="53" t="s">
        <v>93</v>
      </c>
    </row>
    <row r="41" spans="1:8" x14ac:dyDescent="0.25">
      <c r="B41" s="22"/>
      <c r="C41" s="22"/>
      <c r="D41" s="23"/>
      <c r="E41" s="22"/>
      <c r="F41" s="22"/>
      <c r="G41" s="24"/>
      <c r="H41" s="58"/>
    </row>
    <row r="42" spans="1:8" x14ac:dyDescent="0.25">
      <c r="B42" s="22"/>
      <c r="C42" s="22"/>
      <c r="D42" s="23"/>
      <c r="E42" s="22"/>
      <c r="F42" s="22"/>
      <c r="G42" s="24"/>
      <c r="H42" s="63"/>
    </row>
    <row r="43" spans="1:8" ht="17.25" customHeight="1" thickBot="1" x14ac:dyDescent="0.3">
      <c r="A43" s="94" t="s">
        <v>64</v>
      </c>
      <c r="B43" s="94"/>
      <c r="C43" s="94"/>
      <c r="D43" s="94"/>
      <c r="E43" s="94"/>
      <c r="F43" s="94"/>
      <c r="G43" s="64"/>
    </row>
    <row r="44" spans="1:8" s="65" customFormat="1" ht="17.25" customHeight="1" x14ac:dyDescent="0.25">
      <c r="A44" s="66"/>
      <c r="B44" s="80" t="s">
        <v>20</v>
      </c>
      <c r="C44" s="80" t="s">
        <v>21</v>
      </c>
      <c r="D44" s="80" t="s">
        <v>74</v>
      </c>
      <c r="E44" s="95" t="s">
        <v>75</v>
      </c>
      <c r="F44" s="95"/>
      <c r="G44" s="95"/>
      <c r="H44" s="96"/>
    </row>
    <row r="45" spans="1:8" x14ac:dyDescent="0.25">
      <c r="A45" s="67"/>
      <c r="B45" s="61">
        <v>60</v>
      </c>
      <c r="C45" s="22">
        <v>51</v>
      </c>
      <c r="D45" s="62">
        <f>D7+'2022 год'!D19*36+D35</f>
        <v>2881500</v>
      </c>
      <c r="E45" s="81" t="s">
        <v>65</v>
      </c>
      <c r="F45" s="81"/>
      <c r="G45" s="81"/>
      <c r="H45" s="82"/>
    </row>
    <row r="46" spans="1:8" x14ac:dyDescent="0.25">
      <c r="A46" s="67"/>
      <c r="B46" s="21" t="s">
        <v>33</v>
      </c>
      <c r="C46" s="21" t="s">
        <v>39</v>
      </c>
      <c r="D46" s="62">
        <f>D9</f>
        <v>1401250</v>
      </c>
      <c r="E46" s="89" t="s">
        <v>66</v>
      </c>
      <c r="F46" s="89"/>
      <c r="G46" s="89"/>
      <c r="H46" s="90"/>
    </row>
    <row r="47" spans="1:8" x14ac:dyDescent="0.25">
      <c r="A47" s="67"/>
      <c r="B47" s="21" t="s">
        <v>33</v>
      </c>
      <c r="C47" s="25" t="s">
        <v>34</v>
      </c>
      <c r="D47" s="62">
        <f>D10</f>
        <v>600000</v>
      </c>
      <c r="E47" s="89" t="s">
        <v>67</v>
      </c>
      <c r="F47" s="89"/>
      <c r="G47" s="89"/>
      <c r="H47" s="90"/>
    </row>
    <row r="48" spans="1:8" x14ac:dyDescent="0.25">
      <c r="A48" s="67"/>
      <c r="B48" s="21" t="s">
        <v>37</v>
      </c>
      <c r="C48" s="21" t="s">
        <v>33</v>
      </c>
      <c r="D48" s="62">
        <f>D46+D47</f>
        <v>2001250</v>
      </c>
      <c r="E48" s="89" t="s">
        <v>68</v>
      </c>
      <c r="F48" s="89"/>
      <c r="G48" s="89"/>
      <c r="H48" s="90"/>
    </row>
    <row r="49" spans="1:8" x14ac:dyDescent="0.25">
      <c r="A49" s="67"/>
      <c r="B49" s="22" t="s">
        <v>39</v>
      </c>
      <c r="C49" s="22">
        <v>60</v>
      </c>
      <c r="D49" s="62">
        <f>D16*36+D36</f>
        <v>1801250</v>
      </c>
      <c r="E49" s="89" t="s">
        <v>69</v>
      </c>
      <c r="F49" s="89"/>
      <c r="G49" s="89"/>
      <c r="H49" s="90"/>
    </row>
    <row r="50" spans="1:8" x14ac:dyDescent="0.25">
      <c r="A50" s="67"/>
      <c r="B50" s="22">
        <v>20</v>
      </c>
      <c r="C50" s="22" t="s">
        <v>40</v>
      </c>
      <c r="D50" s="62">
        <f>Бух.отчетность!L44</f>
        <v>399999.99313600594</v>
      </c>
      <c r="E50" s="89" t="s">
        <v>12</v>
      </c>
      <c r="F50" s="89"/>
      <c r="G50" s="89"/>
      <c r="H50" s="90"/>
    </row>
    <row r="51" spans="1:8" x14ac:dyDescent="0.25">
      <c r="A51" s="67"/>
      <c r="B51" s="22">
        <v>20</v>
      </c>
      <c r="C51" s="22" t="s">
        <v>47</v>
      </c>
      <c r="D51" s="62">
        <f>Бух.отчетность!K44</f>
        <v>2001250.0068639943</v>
      </c>
      <c r="E51" s="89" t="s">
        <v>70</v>
      </c>
      <c r="F51" s="89"/>
      <c r="G51" s="89"/>
      <c r="H51" s="90"/>
    </row>
    <row r="52" spans="1:8" x14ac:dyDescent="0.25">
      <c r="A52" s="67"/>
      <c r="B52" s="22">
        <v>19</v>
      </c>
      <c r="C52" s="22">
        <v>60</v>
      </c>
      <c r="D52" s="62">
        <f>D12+D17*36+D37</f>
        <v>480250</v>
      </c>
      <c r="E52" s="89" t="s">
        <v>71</v>
      </c>
      <c r="F52" s="89"/>
      <c r="G52" s="89"/>
      <c r="H52" s="90"/>
    </row>
    <row r="53" spans="1:8" x14ac:dyDescent="0.25">
      <c r="A53" s="67"/>
      <c r="B53" s="22">
        <v>68</v>
      </c>
      <c r="C53" s="22">
        <v>19</v>
      </c>
      <c r="D53" s="62">
        <f>D52</f>
        <v>480250</v>
      </c>
      <c r="E53" s="89" t="s">
        <v>72</v>
      </c>
      <c r="F53" s="89"/>
      <c r="G53" s="89"/>
      <c r="H53" s="90"/>
    </row>
    <row r="54" spans="1:8" x14ac:dyDescent="0.25">
      <c r="A54" s="67"/>
      <c r="B54" s="22" t="s">
        <v>42</v>
      </c>
      <c r="C54" s="22">
        <v>20</v>
      </c>
      <c r="D54" s="62">
        <f>D50+D51</f>
        <v>2401250</v>
      </c>
      <c r="E54" s="89" t="s">
        <v>73</v>
      </c>
      <c r="F54" s="89"/>
      <c r="G54" s="89"/>
      <c r="H54" s="90"/>
    </row>
    <row r="55" spans="1:8" x14ac:dyDescent="0.25">
      <c r="A55" s="74" t="s">
        <v>76</v>
      </c>
      <c r="B55" s="72"/>
      <c r="C55" s="72"/>
      <c r="D55" s="73"/>
      <c r="E55" s="91"/>
      <c r="F55" s="91"/>
      <c r="G55" s="91"/>
      <c r="H55" s="92"/>
    </row>
    <row r="56" spans="1:8" x14ac:dyDescent="0.25">
      <c r="A56" s="67"/>
      <c r="B56" s="22" t="s">
        <v>77</v>
      </c>
      <c r="C56" s="22" t="s">
        <v>78</v>
      </c>
      <c r="D56" s="62" t="s">
        <v>79</v>
      </c>
      <c r="E56" s="89"/>
      <c r="F56" s="89"/>
      <c r="G56" s="89"/>
      <c r="H56" s="90"/>
    </row>
    <row r="57" spans="1:8" x14ac:dyDescent="0.25">
      <c r="A57" s="67"/>
      <c r="B57" s="62">
        <f>D45</f>
        <v>2881500</v>
      </c>
      <c r="C57" s="62">
        <f>D47+D49+D52</f>
        <v>2881500</v>
      </c>
      <c r="D57" s="62">
        <v>60</v>
      </c>
      <c r="E57" s="89"/>
      <c r="F57" s="89"/>
      <c r="G57" s="89"/>
      <c r="H57" s="90"/>
    </row>
    <row r="58" spans="1:8" x14ac:dyDescent="0.25">
      <c r="A58" s="67"/>
      <c r="B58" s="62">
        <f>D46+D47</f>
        <v>2001250</v>
      </c>
      <c r="C58" s="62">
        <f>D48</f>
        <v>2001250</v>
      </c>
      <c r="D58" s="21" t="s">
        <v>33</v>
      </c>
      <c r="E58" s="89"/>
      <c r="F58" s="89"/>
      <c r="G58" s="89"/>
      <c r="H58" s="90"/>
    </row>
    <row r="59" spans="1:8" x14ac:dyDescent="0.25">
      <c r="A59" s="67"/>
      <c r="B59" s="62">
        <f>D49</f>
        <v>1801250</v>
      </c>
      <c r="C59" s="62">
        <f>D46+D50</f>
        <v>1801249.9931360059</v>
      </c>
      <c r="D59" s="62" t="s">
        <v>40</v>
      </c>
      <c r="E59" s="89"/>
      <c r="F59" s="89"/>
      <c r="G59" s="89"/>
      <c r="H59" s="90"/>
    </row>
    <row r="60" spans="1:8" ht="15.75" thickBot="1" x14ac:dyDescent="0.3">
      <c r="A60" s="68"/>
      <c r="B60" s="69"/>
      <c r="C60" s="69"/>
      <c r="D60" s="70"/>
      <c r="E60" s="87"/>
      <c r="F60" s="87"/>
      <c r="G60" s="87"/>
      <c r="H60" s="88"/>
    </row>
    <row r="61" spans="1:8" x14ac:dyDescent="0.25">
      <c r="B61" s="22"/>
      <c r="C61" s="22"/>
      <c r="D61" s="62"/>
      <c r="E61" s="89"/>
      <c r="F61" s="93"/>
      <c r="G61" s="93"/>
      <c r="H61" s="90"/>
    </row>
    <row r="62" spans="1:8" ht="17.25" customHeight="1" thickBot="1" x14ac:dyDescent="0.3">
      <c r="A62" s="94" t="s">
        <v>80</v>
      </c>
      <c r="B62" s="94"/>
      <c r="C62" s="94"/>
      <c r="D62" s="94"/>
      <c r="E62" s="94"/>
      <c r="F62" s="94"/>
      <c r="G62" s="64"/>
    </row>
    <row r="63" spans="1:8" x14ac:dyDescent="0.25">
      <c r="A63" s="66"/>
      <c r="B63" s="80" t="s">
        <v>20</v>
      </c>
      <c r="C63" s="80" t="s">
        <v>21</v>
      </c>
      <c r="D63" s="80" t="s">
        <v>74</v>
      </c>
      <c r="E63" s="95" t="s">
        <v>75</v>
      </c>
      <c r="F63" s="95"/>
      <c r="G63" s="95"/>
      <c r="H63" s="96"/>
    </row>
    <row r="64" spans="1:8" x14ac:dyDescent="0.25">
      <c r="A64" s="67"/>
      <c r="B64" s="61" t="s">
        <v>38</v>
      </c>
      <c r="C64" s="22">
        <v>51</v>
      </c>
      <c r="D64" s="62">
        <f>G7+G19*36+G35</f>
        <v>2881500</v>
      </c>
      <c r="E64" s="81" t="s">
        <v>65</v>
      </c>
      <c r="F64" s="81"/>
      <c r="G64" s="81"/>
      <c r="H64" s="82"/>
    </row>
    <row r="65" spans="1:8" x14ac:dyDescent="0.25">
      <c r="A65" s="67"/>
      <c r="B65" s="21" t="s">
        <v>87</v>
      </c>
      <c r="C65" s="21" t="s">
        <v>38</v>
      </c>
      <c r="D65" s="62">
        <f>G23+G16*36</f>
        <v>2400000</v>
      </c>
      <c r="E65" s="89" t="s">
        <v>81</v>
      </c>
      <c r="F65" s="89"/>
      <c r="G65" s="89"/>
      <c r="H65" s="90"/>
    </row>
    <row r="66" spans="1:8" x14ac:dyDescent="0.25">
      <c r="A66" s="67"/>
      <c r="B66" s="21" t="s">
        <v>43</v>
      </c>
      <c r="C66" s="21" t="s">
        <v>38</v>
      </c>
      <c r="D66" s="62">
        <f>G24+G17*36</f>
        <v>480000</v>
      </c>
      <c r="E66" s="81" t="s">
        <v>94</v>
      </c>
      <c r="F66" s="81"/>
      <c r="G66" s="81"/>
      <c r="H66" s="82"/>
    </row>
    <row r="67" spans="1:8" x14ac:dyDescent="0.25">
      <c r="A67" s="67"/>
      <c r="B67" s="22">
        <v>10</v>
      </c>
      <c r="C67" s="22">
        <v>60</v>
      </c>
      <c r="D67" s="62">
        <f>G36</f>
        <v>1250</v>
      </c>
      <c r="E67" s="89" t="s">
        <v>82</v>
      </c>
      <c r="F67" s="89"/>
      <c r="G67" s="89"/>
      <c r="H67" s="90"/>
    </row>
    <row r="68" spans="1:8" x14ac:dyDescent="0.25">
      <c r="A68" s="67"/>
      <c r="B68" s="22">
        <v>19</v>
      </c>
      <c r="C68" s="22">
        <v>60</v>
      </c>
      <c r="D68" s="62">
        <f>G37</f>
        <v>250</v>
      </c>
      <c r="E68" s="89" t="s">
        <v>95</v>
      </c>
      <c r="F68" s="89"/>
      <c r="G68" s="89"/>
      <c r="H68" s="90"/>
    </row>
    <row r="69" spans="1:8" x14ac:dyDescent="0.25">
      <c r="A69" s="67"/>
      <c r="B69" s="22" t="s">
        <v>42</v>
      </c>
      <c r="C69" s="22">
        <v>44</v>
      </c>
      <c r="D69" s="62">
        <f>G23+G33*36</f>
        <v>2400000</v>
      </c>
      <c r="E69" s="89"/>
      <c r="F69" s="89"/>
      <c r="G69" s="89"/>
      <c r="H69" s="90"/>
    </row>
    <row r="70" spans="1:8" x14ac:dyDescent="0.25">
      <c r="A70" s="71" t="s">
        <v>76</v>
      </c>
      <c r="B70" s="72"/>
      <c r="C70" s="72"/>
      <c r="D70" s="73"/>
      <c r="E70" s="91"/>
      <c r="F70" s="91"/>
      <c r="G70" s="91"/>
      <c r="H70" s="92"/>
    </row>
    <row r="71" spans="1:8" x14ac:dyDescent="0.25">
      <c r="A71" s="67"/>
      <c r="B71" s="22" t="s">
        <v>77</v>
      </c>
      <c r="C71" s="22" t="s">
        <v>78</v>
      </c>
      <c r="D71" s="62" t="s">
        <v>79</v>
      </c>
      <c r="E71" s="89"/>
      <c r="F71" s="89"/>
      <c r="G71" s="89"/>
      <c r="H71" s="90"/>
    </row>
    <row r="72" spans="1:8" x14ac:dyDescent="0.25">
      <c r="A72" s="67"/>
      <c r="B72" s="62">
        <f>D64</f>
        <v>2881500</v>
      </c>
      <c r="C72" s="62">
        <f>D65+D67+D68</f>
        <v>2401500</v>
      </c>
      <c r="D72" s="62" t="s">
        <v>38</v>
      </c>
      <c r="E72" s="89"/>
      <c r="F72" s="89"/>
      <c r="G72" s="89"/>
      <c r="H72" s="90"/>
    </row>
    <row r="73" spans="1:8" x14ac:dyDescent="0.25">
      <c r="A73" s="67"/>
      <c r="B73" s="62">
        <f>D65</f>
        <v>2400000</v>
      </c>
      <c r="C73" s="62">
        <f>D69</f>
        <v>2400000</v>
      </c>
      <c r="D73" s="21" t="s">
        <v>87</v>
      </c>
      <c r="E73" s="89"/>
      <c r="F73" s="89"/>
      <c r="G73" s="89"/>
      <c r="H73" s="90"/>
    </row>
    <row r="74" spans="1:8" ht="15.75" thickBot="1" x14ac:dyDescent="0.3">
      <c r="A74" s="68"/>
      <c r="B74" s="69"/>
      <c r="C74" s="69"/>
      <c r="D74" s="70"/>
      <c r="E74" s="87"/>
      <c r="F74" s="87"/>
      <c r="G74" s="87"/>
      <c r="H74" s="88"/>
    </row>
  </sheetData>
  <autoFilter ref="A44:H59" xr:uid="{6F6436CA-E0A6-4002-BE57-9C4FCEDCD565}">
    <filterColumn colId="4" showButton="0"/>
    <filterColumn colId="5" showButton="0"/>
    <filterColumn colId="6" showButton="0"/>
  </autoFilter>
  <mergeCells count="38">
    <mergeCell ref="E47:H47"/>
    <mergeCell ref="B4:D4"/>
    <mergeCell ref="E4:G4"/>
    <mergeCell ref="H4:H5"/>
    <mergeCell ref="B6:H6"/>
    <mergeCell ref="B8:H8"/>
    <mergeCell ref="B15:H15"/>
    <mergeCell ref="B26:H26"/>
    <mergeCell ref="B34:H34"/>
    <mergeCell ref="A43:F43"/>
    <mergeCell ref="E44:H44"/>
    <mergeCell ref="E46:H46"/>
    <mergeCell ref="B22:H22"/>
    <mergeCell ref="E59:H59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65:H65"/>
    <mergeCell ref="E67:H67"/>
    <mergeCell ref="E68:H68"/>
    <mergeCell ref="E60:H60"/>
    <mergeCell ref="E61:H61"/>
    <mergeCell ref="A62:F62"/>
    <mergeCell ref="E63:H63"/>
    <mergeCell ref="E74:H74"/>
    <mergeCell ref="E69:H69"/>
    <mergeCell ref="E70:H70"/>
    <mergeCell ref="E71:H71"/>
    <mergeCell ref="E72:H72"/>
    <mergeCell ref="E73:H73"/>
  </mergeCells>
  <pageMargins left="0.7" right="0.7" top="0.75" bottom="0.75" header="0.3" footer="0.3"/>
  <pageSetup paperSize="9" scale="70" fitToHeight="0" orientation="landscape" r:id="rId1"/>
  <rowBreaks count="4" manualBreakCount="4">
    <brk id="14" max="16383" man="1"/>
    <brk id="25" max="16383" man="1"/>
    <brk id="33" max="16383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Бух.отчетность</vt:lpstr>
      <vt:lpstr>2022 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Kurbatov.A</dc:creator>
  <cp:lastModifiedBy>Мещерякова Ирина Сергеевна</cp:lastModifiedBy>
  <cp:lastPrinted>2022-08-19T12:41:19Z</cp:lastPrinted>
  <dcterms:created xsi:type="dcterms:W3CDTF">2021-08-23T08:42:38Z</dcterms:created>
  <dcterms:modified xsi:type="dcterms:W3CDTF">2022-08-19T12:52:46Z</dcterms:modified>
</cp:coreProperties>
</file>